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erica/Desktop/"/>
    </mc:Choice>
  </mc:AlternateContent>
  <xr:revisionPtr revIDLastSave="0" documentId="13_ncr:1_{9507FFD5-A21A-C04E-B56A-4E80380CCE98}" xr6:coauthVersionLast="47" xr6:coauthVersionMax="47" xr10:uidLastSave="{00000000-0000-0000-0000-000000000000}"/>
  <bookViews>
    <workbookView xWindow="0" yWindow="760" windowWidth="30240" windowHeight="17640" xr2:uid="{E93325D8-502D-421D-8D80-33590324C672}"/>
  </bookViews>
  <sheets>
    <sheet name="Dairy cattle enteric calc" sheetId="1" r:id="rId1"/>
    <sheet name="Defaults and Options" sheetId="3" r:id="rId2"/>
  </sheets>
  <definedNames>
    <definedName name="_xlnm.Print_Area" localSheetId="0">'Dairy cattle enteric calc'!$A$1:$L$68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57" i="1" l="1"/>
  <c r="G30" i="1"/>
  <c r="D56" i="1"/>
  <c r="D47" i="1"/>
  <c r="G57" i="1" l="1"/>
  <c r="D58" i="1" l="1"/>
  <c r="D48" i="1"/>
  <c r="D49" i="1" s="1"/>
  <c r="D51" i="1" s="1"/>
  <c r="G40" i="1"/>
  <c r="D30" i="1"/>
  <c r="D35" i="1"/>
  <c r="D32" i="1"/>
  <c r="G34" i="1"/>
  <c r="G33" i="1"/>
  <c r="D34" i="1"/>
  <c r="D33" i="1"/>
  <c r="G31" i="1"/>
  <c r="G32" i="1"/>
  <c r="G38" i="1" s="1"/>
  <c r="D31" i="1"/>
  <c r="G56" i="1" l="1"/>
  <c r="G50" i="1"/>
  <c r="G48" i="1"/>
  <c r="G49" i="1" s="1"/>
  <c r="G39" i="1"/>
  <c r="G35" i="1"/>
  <c r="G47" i="1" s="1"/>
  <c r="D39" i="1"/>
  <c r="D41" i="1" s="1"/>
  <c r="J31" i="1" s="1"/>
  <c r="G41" i="1" l="1"/>
  <c r="G51" i="1"/>
  <c r="G52" i="1" s="1"/>
  <c r="G59" i="1" s="1"/>
  <c r="D43" i="1"/>
  <c r="J38" i="1" s="1"/>
  <c r="G43" i="1" l="1"/>
  <c r="J39" i="1" s="1"/>
  <c r="J32" i="1"/>
  <c r="G42" i="1"/>
  <c r="D53" i="1"/>
  <c r="J48" i="1" s="1"/>
  <c r="D61" i="1" l="1"/>
  <c r="J57" i="1" s="1"/>
  <c r="D62" i="1"/>
  <c r="G58" i="1"/>
  <c r="D44" i="1" l="1"/>
  <c r="G44" i="1" l="1"/>
  <c r="G53" i="1" l="1"/>
  <c r="J49" i="1" s="1"/>
  <c r="G60" i="1" l="1"/>
  <c r="G62" i="1" s="1"/>
  <c r="G61" i="1" l="1"/>
  <c r="G65" i="1" l="1"/>
  <c r="J58" i="1"/>
</calcChain>
</file>

<file path=xl/sharedStrings.xml><?xml version="1.0" encoding="utf-8"?>
<sst xmlns="http://schemas.openxmlformats.org/spreadsheetml/2006/main" count="150" uniqueCount="117">
  <si>
    <t>Colorado State University</t>
  </si>
  <si>
    <t>AgNext Feed Additive Calculator Tool (FACT)
for Lactating Dairy Cows</t>
  </si>
  <si>
    <t>File Name:</t>
  </si>
  <si>
    <t>Notes:</t>
  </si>
  <si>
    <t>Feed Additive Name:</t>
  </si>
  <si>
    <t>Date:</t>
  </si>
  <si>
    <t>Inputs</t>
  </si>
  <si>
    <t>Animal</t>
  </si>
  <si>
    <t>Milk Production and Composition</t>
  </si>
  <si>
    <t>Milk Prices</t>
  </si>
  <si>
    <t>Body weight, lbs / head</t>
  </si>
  <si>
    <r>
      <t xml:space="preserve">Milk production, lbs / day
</t>
    </r>
    <r>
      <rPr>
        <sz val="8"/>
        <color theme="1"/>
        <rFont val="Arial"/>
        <family val="2"/>
      </rPr>
      <t>The milk fat and milk protein percentags are used for calculating the fat and protein corrected milk</t>
    </r>
  </si>
  <si>
    <r>
      <t xml:space="preserve">Milk pool price, $ / cwt
</t>
    </r>
    <r>
      <rPr>
        <sz val="8"/>
        <color theme="1"/>
        <rFont val="Arial"/>
        <family val="2"/>
      </rPr>
      <t>For non-pooled milk prices leave this value as 0. Values larger than 0, will ignore milk component prices.</t>
    </r>
  </si>
  <si>
    <t>Ration Input</t>
  </si>
  <si>
    <t>Milk fat,  %</t>
  </si>
  <si>
    <t>Butterfat price, $ / lb</t>
  </si>
  <si>
    <t>Dry matter intake, lbs dry matter / head / day</t>
  </si>
  <si>
    <t>Milk protein, %</t>
  </si>
  <si>
    <t>Protein price, $ / lb</t>
  </si>
  <si>
    <t>NDF content as percent of DM,  %</t>
  </si>
  <si>
    <t>Other milk solids, %</t>
  </si>
  <si>
    <t>Other solids price, $ / lb</t>
  </si>
  <si>
    <t xml:space="preserve">
Where to find this value?
</t>
  </si>
  <si>
    <t>Other premiums,  $ / cwt</t>
  </si>
  <si>
    <t>Ration cost, $ /  head / day</t>
  </si>
  <si>
    <t>To read more about carbon markets follow this link to the AgNEXT carbon markets blog:</t>
  </si>
  <si>
    <t>agnext.colostate.edu/carbon-markets</t>
  </si>
  <si>
    <r>
      <t xml:space="preserve">USDA Announcement of Class and Component Prices
</t>
    </r>
    <r>
      <rPr>
        <sz val="8"/>
        <color theme="1"/>
        <rFont val="Arial"/>
        <family val="2"/>
      </rPr>
      <t>The link will take you to the latest USDA milk classess and milk  component prices.</t>
    </r>
  </si>
  <si>
    <t>ams.usda.gov/mnreports/dymclassprices.pdf</t>
  </si>
  <si>
    <t>Feed Additive</t>
  </si>
  <si>
    <r>
      <t xml:space="preserve">Estimated impact on methane production, % difference from baseline
</t>
    </r>
    <r>
      <rPr>
        <sz val="8"/>
        <color theme="1"/>
        <rFont val="Arial"/>
        <family val="2"/>
      </rPr>
      <t>If an additive reduces enteric methane production, the value should be negative.</t>
    </r>
  </si>
  <si>
    <r>
      <t xml:space="preserve">New milk fat yield,  % 
</t>
    </r>
    <r>
      <rPr>
        <sz val="8"/>
        <color theme="1"/>
        <rFont val="Arial"/>
        <family val="2"/>
      </rPr>
      <t>Enter in the new estimate of milk fat yield given additive use (same, increase, or decrease)</t>
    </r>
  </si>
  <si>
    <t>Additive costs, $ / head / d</t>
  </si>
  <si>
    <r>
      <t xml:space="preserve">Estimated impact on dry matter intake, % difference from baseline
</t>
    </r>
    <r>
      <rPr>
        <sz val="8"/>
        <color theme="1"/>
        <rFont val="Arial"/>
        <family val="2"/>
      </rPr>
      <t>If an additive reduces DMI, the value should be negative.</t>
    </r>
  </si>
  <si>
    <r>
      <t xml:space="preserve">Milk protein yield,  %
</t>
    </r>
    <r>
      <rPr>
        <sz val="8"/>
        <color theme="1"/>
        <rFont val="Arial"/>
        <family val="2"/>
      </rPr>
      <t>Enter in the new estimate of milk protein yield given additive use (same, increase, or decrease)</t>
    </r>
  </si>
  <si>
    <r>
      <t>Carbon price, $ / metric ton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abated</t>
    </r>
  </si>
  <si>
    <r>
      <t xml:space="preserve">Estimated impact on milk production, lbs milk / day
</t>
    </r>
    <r>
      <rPr>
        <sz val="8"/>
        <color theme="1"/>
        <rFont val="Arial"/>
        <family val="2"/>
      </rPr>
      <t xml:space="preserve">Estimated impact (neutral, positive or negative) on milk production. If milk production is increased, the value should be positive. </t>
    </r>
  </si>
  <si>
    <r>
      <t xml:space="preserve">New milk other solids,  %
</t>
    </r>
    <r>
      <rPr>
        <sz val="8"/>
        <color theme="1"/>
        <rFont val="Arial"/>
        <family val="2"/>
      </rPr>
      <t>Enter in the new estimate of other solids yield given additive use (same, increase, or decrease)</t>
    </r>
  </si>
  <si>
    <t>The following external resource (not maintained by AgNext) can be used to understand current carbon prices in different markets</t>
  </si>
  <si>
    <t>carboncredits.com</t>
  </si>
  <si>
    <t>Baseline</t>
  </si>
  <si>
    <t>Outputs</t>
  </si>
  <si>
    <t>Baseline Scenario</t>
  </si>
  <si>
    <t>Feed Additive Scenario</t>
  </si>
  <si>
    <t>Animal Performance</t>
  </si>
  <si>
    <t>Dry matter intake, lb DM / hd / d</t>
  </si>
  <si>
    <t>Estimated dry matter intake, lbs DM / hd / d</t>
  </si>
  <si>
    <t>Milk production, lb / d</t>
  </si>
  <si>
    <t>Estimated milk production, lb / d</t>
  </si>
  <si>
    <t>Estimated milk fat,  %</t>
  </si>
  <si>
    <t>Additive</t>
  </si>
  <si>
    <t>Estimated milk protein, %</t>
  </si>
  <si>
    <t>Estimated other milk solids, %</t>
  </si>
  <si>
    <t>Fat and protein corrected milk, lb FPCM / d</t>
  </si>
  <si>
    <t>Enteric emissions, imperial units</t>
  </si>
  <si>
    <r>
      <t>Daily enteric methane emissions, lb CH</t>
    </r>
    <r>
      <rPr>
        <vertAlign val="subscript"/>
        <sz val="10"/>
        <color theme="1"/>
        <rFont val="Arial"/>
        <family val="2"/>
      </rPr>
      <t xml:space="preserve">4 </t>
    </r>
    <r>
      <rPr>
        <sz val="10"/>
        <color theme="1"/>
        <rFont val="Arial"/>
        <family val="2"/>
      </rPr>
      <t>/ hd / d</t>
    </r>
  </si>
  <si>
    <r>
      <t>Daily enteric methane emissions, lb CH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/ hd / d</t>
    </r>
  </si>
  <si>
    <r>
      <t>Daily enteric methane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e / hd / d </t>
    </r>
  </si>
  <si>
    <r>
      <t>Daily enteric methane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</si>
  <si>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r>
      <t>Feed additive production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</si>
  <si>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t>N/A</t>
  </si>
  <si>
    <r>
      <t>Total emissions from additive and enteric methane,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</si>
  <si>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r>
      <t>Total abated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</si>
  <si>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r>
      <t>Total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e / cwt </t>
    </r>
  </si>
  <si>
    <r>
      <t>Total emissions, lb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lb FPCM</t>
    </r>
  </si>
  <si>
    <t>Enteric emissions, metric units</t>
  </si>
  <si>
    <t>Fat and protein corrected milk, kg FPCM / hd / d</t>
  </si>
  <si>
    <r>
      <t>Daily enteric methane emissions, kg CH</t>
    </r>
    <r>
      <rPr>
        <vertAlign val="subscript"/>
        <sz val="10"/>
        <color theme="1"/>
        <rFont val="Arial"/>
        <family val="2"/>
      </rPr>
      <t xml:space="preserve">4 </t>
    </r>
    <r>
      <rPr>
        <sz val="10"/>
        <color theme="1"/>
        <rFont val="Arial"/>
        <family val="2"/>
      </rPr>
      <t xml:space="preserve">/ hd </t>
    </r>
  </si>
  <si>
    <t>Daily enteric methane emissions, kg CH4 / hd / d</t>
  </si>
  <si>
    <r>
      <t>Daily enteric methane emissions, 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</t>
    </r>
  </si>
  <si>
    <t>Daily enteric methane emissions, kg CO2e / hd</t>
  </si>
  <si>
    <r>
      <t>Feed additive production emissions, 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</si>
  <si>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t>Feed additive production emissions, kg CO2e / hd / d</t>
  </si>
  <si>
    <t>Total emissions from additive production and enteric methane, kg CO2e / hd</t>
  </si>
  <si>
    <r>
      <t>Total reduced emissions, 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hd / d</t>
    </r>
  </si>
  <si>
    <r>
      <t>Total emissions, kg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e / kg FPCM</t>
    </r>
  </si>
  <si>
    <t>Total emisisons, kg CO2e / kg FPCM</t>
  </si>
  <si>
    <t>Financial outcomes</t>
  </si>
  <si>
    <t>Milk revenue per cow, $ / hd / d</t>
  </si>
  <si>
    <t>Total feed cost, $ / hd</t>
  </si>
  <si>
    <t>Total feed costs (with additive), $ / hd / d</t>
  </si>
  <si>
    <t>Income over feed costs (cash basis), $ / hd</t>
  </si>
  <si>
    <t>Income over feed costs (cash basis with no carbon value), $ / hd</t>
  </si>
  <si>
    <t xml:space="preserve">Carbon value per head, $ / hd  </t>
  </si>
  <si>
    <t>Income over feed costs (cash basis with carbon value), 
$ / hd / d</t>
  </si>
  <si>
    <t>Income over feed costs  (cash basis), $ / cwt</t>
  </si>
  <si>
    <t>Income over feed costs (cash basis with carbon value), $ / cwt</t>
  </si>
  <si>
    <t>Income over feed costs (cash basis), $ / lb FPCM</t>
  </si>
  <si>
    <t>Income over feed costs (cash basis with carbon value), $ / lb FPCM</t>
  </si>
  <si>
    <t>(Feed additive scenario) - (Baseline scenario) gross margin, $ / cwt difference</t>
  </si>
  <si>
    <t>a negative value would indicate that the additive scenario is not economically beneficial</t>
  </si>
  <si>
    <t>Conversion factors and defaults</t>
  </si>
  <si>
    <t>Conversions</t>
  </si>
  <si>
    <t>lbs. per kg</t>
  </si>
  <si>
    <t>Mcal to MJ</t>
  </si>
  <si>
    <t>Grams per kg and kg per metric ton</t>
  </si>
  <si>
    <t>lbs per cwt</t>
  </si>
  <si>
    <t>lbs per imperial ton</t>
  </si>
  <si>
    <t>MJ of energy to mass conversion for methane</t>
  </si>
  <si>
    <t>Standard milk fat %</t>
  </si>
  <si>
    <t>Standard milk protein %</t>
  </si>
  <si>
    <t>FPCM coefficients</t>
  </si>
  <si>
    <t>fat</t>
  </si>
  <si>
    <t>protein</t>
  </si>
  <si>
    <t>constant</t>
  </si>
  <si>
    <t>Enteric methane from lactating cows coefficients</t>
  </si>
  <si>
    <t>DMI kg/d</t>
  </si>
  <si>
    <t>NDF % of DM</t>
  </si>
  <si>
    <t>Milk fat concentration %</t>
  </si>
  <si>
    <t>body weight</t>
  </si>
  <si>
    <t>AR5</t>
  </si>
  <si>
    <t>GWP100 value for methane</t>
  </si>
  <si>
    <t>Assumptions</t>
  </si>
  <si>
    <t>Additive inclusion rate, lb/ lb DM</t>
  </si>
  <si>
    <t>Emission Factor for additive, lb CO2e / lb active ingredient</t>
  </si>
  <si>
    <t>Use this guide</t>
  </si>
  <si>
    <t>Last updated 4/2/2024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</si>
</sst>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"/>
    <numFmt numFmtId="165" formatCode="&quot;$&quot;#,##0.00"/>
    <numFmt numFmtId="166" formatCode="0.000"/>
    <numFmt numFmtId="167" formatCode="0.0"/>
  </numFmts>
  <fonts count="46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</font>
    <font>
      <b/>
      <sz val="14"/>
      <color rgb="FF114827"/>
      <name val="Arial"/>
      <family val="2"/>
    </font>
    <font>
      <b/>
      <sz val="11"/>
      <color rgb="FF3F3F3F"/>
      <name val="Arial"/>
      <family val="2"/>
    </font>
    <font>
      <sz val="12"/>
      <color rgb="FF0000FF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Proxima Nova"/>
    </font>
    <font>
      <sz val="12"/>
      <color theme="1"/>
      <name val="Arial"/>
      <family val="2"/>
    </font>
    <font>
      <sz val="22"/>
      <color theme="1"/>
      <name val="Arial"/>
      <family val="2"/>
    </font>
    <font>
      <b/>
      <sz val="15"/>
      <color theme="3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  <font>
      <b/>
      <sz val="24"/>
      <color rgb="FF114827"/>
      <name val="Arial"/>
      <family val="2"/>
    </font>
    <font>
      <b/>
      <sz val="11"/>
      <color rgb="FF004C23"/>
      <name val="Arial"/>
      <family val="2"/>
    </font>
    <font>
      <b/>
      <sz val="11"/>
      <color rgb="FF114827"/>
      <name val="Arial"/>
      <family val="2"/>
    </font>
    <font>
      <sz val="10"/>
      <color rgb="FF0000FF"/>
      <name val="Arial"/>
      <family val="2"/>
    </font>
    <font>
      <vertAlign val="subscript"/>
      <sz val="10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Proxima Nova Alt Rg"/>
      <family val="3"/>
    </font>
    <font>
      <sz val="8"/>
      <color theme="1"/>
      <name val="Arial"/>
      <family val="2"/>
    </font>
    <font>
      <sz val="10"/>
      <color theme="1"/>
      <name val="Arial"/>
      <family val="2"/>
      <scheme val="major"/>
    </font>
    <font>
      <b/>
      <sz val="10"/>
      <color theme="3"/>
      <name val="Arial"/>
      <family val="2"/>
      <scheme val="major"/>
    </font>
    <font>
      <b/>
      <sz val="12"/>
      <color rgb="FF114827"/>
      <name val="Arial"/>
      <family val="2"/>
      <scheme val="minor"/>
    </font>
    <font>
      <b/>
      <sz val="18"/>
      <color rgb="FF004C23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rgb="FF0000FF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color theme="0"/>
      <name val="Arial"/>
      <family val="2"/>
    </font>
    <font>
      <sz val="10"/>
      <color rgb="FF004C23"/>
      <name val="Arial"/>
      <family val="2"/>
      <scheme val="minor"/>
    </font>
    <font>
      <b/>
      <sz val="10"/>
      <color rgb="FF114827"/>
      <name val="Arial"/>
      <family val="2"/>
    </font>
    <font>
      <b/>
      <sz val="11"/>
      <name val="Arial"/>
      <family val="2"/>
    </font>
    <font>
      <u/>
      <sz val="9"/>
      <color rgb="FF0000FF"/>
      <name val="Arial"/>
      <family val="2"/>
      <scheme val="minor"/>
    </font>
    <font>
      <b/>
      <sz val="28"/>
      <color rgb="FF114827"/>
      <name val="Arial"/>
      <family val="2"/>
      <scheme val="minor"/>
    </font>
    <font>
      <u/>
      <sz val="10"/>
      <color rgb="FF0000FF"/>
      <name val="Arial"/>
      <family val="2"/>
      <scheme val="minor"/>
    </font>
    <font>
      <u/>
      <sz val="11"/>
      <color rgb="FF0000FF"/>
      <name val="Arial"/>
      <family val="2"/>
      <scheme val="minor"/>
    </font>
    <font>
      <b/>
      <sz val="1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C094"/>
        <bgColor indexed="64"/>
      </patternFill>
    </fill>
    <fill>
      <patternFill patternType="solid">
        <fgColor rgb="FFFAC094"/>
        <bgColor rgb="FF000000"/>
      </patternFill>
    </fill>
    <fill>
      <patternFill patternType="solid">
        <fgColor rgb="FFE2EFDA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/>
      <bottom style="thick">
        <color rgb="FF4C92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4C23"/>
      </right>
      <top style="medium">
        <color rgb="FF004C23"/>
      </top>
      <bottom/>
      <diagonal/>
    </border>
    <border>
      <left/>
      <right style="medium">
        <color rgb="FF004C23"/>
      </right>
      <top/>
      <bottom style="medium">
        <color rgb="FF004C2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114827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80">
    <xf numFmtId="0" fontId="0" fillId="0" borderId="0" xfId="0"/>
    <xf numFmtId="0" fontId="29" fillId="0" borderId="0" xfId="0" applyFont="1"/>
    <xf numFmtId="164" fontId="29" fillId="0" borderId="0" xfId="0" applyNumberFormat="1" applyFont="1"/>
    <xf numFmtId="0" fontId="29" fillId="0" borderId="0" xfId="0" applyFont="1" applyAlignment="1">
      <alignment horizontal="right"/>
    </xf>
    <xf numFmtId="0" fontId="30" fillId="0" borderId="6" xfId="1" applyFont="1" applyBorder="1"/>
    <xf numFmtId="0" fontId="29" fillId="0" borderId="6" xfId="0" applyFont="1" applyBorder="1"/>
    <xf numFmtId="0" fontId="29" fillId="0" borderId="23" xfId="0" applyFont="1" applyBorder="1"/>
    <xf numFmtId="0" fontId="29" fillId="0" borderId="23" xfId="0" applyFont="1" applyBorder="1" applyAlignment="1">
      <alignment horizontal="left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167" fontId="9" fillId="4" borderId="9" xfId="0" applyNumberFormat="1" applyFont="1" applyFill="1" applyBorder="1" applyAlignment="1" applyProtection="1">
      <alignment horizontal="center" vertical="center"/>
      <protection locked="0"/>
    </xf>
    <xf numFmtId="165" fontId="9" fillId="4" borderId="9" xfId="0" applyNumberFormat="1" applyFont="1" applyFill="1" applyBorder="1" applyAlignment="1" applyProtection="1">
      <alignment horizontal="center" vertical="center"/>
      <protection locked="0"/>
    </xf>
    <xf numFmtId="0" fontId="9" fillId="4" borderId="9" xfId="7" applyNumberFormat="1" applyFont="1" applyFill="1" applyBorder="1" applyAlignment="1" applyProtection="1">
      <alignment horizontal="center" vertical="center"/>
      <protection locked="0"/>
    </xf>
    <xf numFmtId="165" fontId="9" fillId="4" borderId="9" xfId="6" applyNumberFormat="1" applyFont="1" applyFill="1" applyBorder="1" applyAlignment="1" applyProtection="1">
      <alignment horizontal="center" vertical="center"/>
      <protection locked="0"/>
    </xf>
    <xf numFmtId="167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9" fontId="9" fillId="4" borderId="10" xfId="7" applyFont="1" applyFill="1" applyBorder="1" applyAlignment="1" applyProtection="1">
      <alignment horizontal="center" vertical="center"/>
      <protection locked="0"/>
    </xf>
    <xf numFmtId="165" fontId="9" fillId="4" borderId="34" xfId="6" applyNumberFormat="1" applyFont="1" applyFill="1" applyBorder="1" applyAlignment="1" applyProtection="1">
      <alignment horizontal="center" vertical="center"/>
      <protection locked="0"/>
    </xf>
    <xf numFmtId="9" fontId="9" fillId="4" borderId="9" xfId="7" applyFont="1" applyFill="1" applyBorder="1" applyAlignment="1" applyProtection="1">
      <alignment horizontal="center" vertical="center"/>
      <protection locked="0"/>
    </xf>
    <xf numFmtId="0" fontId="6" fillId="3" borderId="0" xfId="0" applyFont="1" applyFill="1"/>
    <xf numFmtId="0" fontId="16" fillId="3" borderId="0" xfId="0" applyFont="1" applyFill="1"/>
    <xf numFmtId="0" fontId="6" fillId="5" borderId="0" xfId="0" applyFont="1" applyFill="1"/>
    <xf numFmtId="0" fontId="19" fillId="3" borderId="17" xfId="0" applyFont="1" applyFill="1" applyBorder="1" applyAlignment="1">
      <alignment horizontal="center"/>
    </xf>
    <xf numFmtId="0" fontId="17" fillId="3" borderId="0" xfId="0" applyFont="1" applyFill="1" applyAlignment="1">
      <alignment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23" fillId="3" borderId="0" xfId="2" applyFont="1" applyFill="1" applyBorder="1" applyAlignment="1" applyProtection="1">
      <alignment horizontal="right"/>
    </xf>
    <xf numFmtId="0" fontId="19" fillId="3" borderId="1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6" fillId="3" borderId="15" xfId="0" applyFont="1" applyFill="1" applyBorder="1" applyAlignment="1">
      <alignment horizontal="center" vertical="center" wrapText="1"/>
    </xf>
    <xf numFmtId="0" fontId="22" fillId="3" borderId="24" xfId="2" applyFont="1" applyFill="1" applyBorder="1" applyProtection="1"/>
    <xf numFmtId="0" fontId="10" fillId="3" borderId="2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left" wrapText="1"/>
    </xf>
    <xf numFmtId="0" fontId="0" fillId="3" borderId="24" xfId="0" applyFill="1" applyBorder="1"/>
    <xf numFmtId="0" fontId="6" fillId="3" borderId="16" xfId="0" applyFont="1" applyFill="1" applyBorder="1"/>
    <xf numFmtId="0" fontId="0" fillId="3" borderId="17" xfId="0" applyFill="1" applyBorder="1"/>
    <xf numFmtId="0" fontId="6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2" fontId="24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9" xfId="0" applyFill="1" applyBorder="1"/>
    <xf numFmtId="0" fontId="0" fillId="3" borderId="18" xfId="0" applyFill="1" applyBorder="1"/>
    <xf numFmtId="0" fontId="22" fillId="3" borderId="23" xfId="2" applyFont="1" applyFill="1" applyBorder="1" applyProtection="1"/>
    <xf numFmtId="0" fontId="10" fillId="3" borderId="2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166" fontId="9" fillId="3" borderId="19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Alignment="1">
      <alignment horizontal="right" vertical="top" wrapText="1"/>
    </xf>
    <xf numFmtId="0" fontId="24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vertical="top" wrapText="1"/>
    </xf>
    <xf numFmtId="0" fontId="35" fillId="7" borderId="0" xfId="0" applyFont="1" applyFill="1" applyAlignment="1">
      <alignment horizontal="left" vertical="center" wrapText="1"/>
    </xf>
    <xf numFmtId="0" fontId="43" fillId="9" borderId="9" xfId="5" applyFont="1" applyFill="1" applyBorder="1" applyAlignment="1" applyProtection="1">
      <alignment horizontal="center" vertical="center" wrapText="1"/>
    </xf>
    <xf numFmtId="0" fontId="41" fillId="4" borderId="9" xfId="5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>
      <alignment vertical="center" textRotation="255" wrapText="1"/>
    </xf>
    <xf numFmtId="0" fontId="35" fillId="7" borderId="0" xfId="0" applyFont="1" applyFill="1" applyAlignment="1">
      <alignment vertical="center" wrapText="1"/>
    </xf>
    <xf numFmtId="0" fontId="44" fillId="9" borderId="10" xfId="5" applyFont="1" applyFill="1" applyBorder="1" applyAlignment="1" applyProtection="1">
      <alignment horizontal="center" vertical="center" wrapText="1"/>
    </xf>
    <xf numFmtId="0" fontId="7" fillId="3" borderId="20" xfId="2" applyFont="1" applyFill="1" applyBorder="1" applyAlignment="1" applyProtection="1"/>
    <xf numFmtId="0" fontId="7" fillId="3" borderId="14" xfId="2" applyFont="1" applyFill="1" applyBorder="1" applyAlignment="1" applyProtection="1"/>
    <xf numFmtId="0" fontId="6" fillId="3" borderId="14" xfId="0" applyFont="1" applyFill="1" applyBorder="1"/>
    <xf numFmtId="0" fontId="6" fillId="3" borderId="21" xfId="0" applyFont="1" applyFill="1" applyBorder="1"/>
    <xf numFmtId="0" fontId="7" fillId="3" borderId="15" xfId="2" applyFont="1" applyFill="1" applyBorder="1" applyAlignment="1" applyProtection="1"/>
    <xf numFmtId="0" fontId="20" fillId="3" borderId="16" xfId="0" applyFont="1" applyFill="1" applyBorder="1"/>
    <xf numFmtId="0" fontId="23" fillId="3" borderId="16" xfId="2" applyFont="1" applyFill="1" applyBorder="1" applyAlignment="1" applyProtection="1"/>
    <xf numFmtId="0" fontId="18" fillId="3" borderId="16" xfId="2" applyFont="1" applyFill="1" applyBorder="1" applyProtection="1"/>
    <xf numFmtId="0" fontId="20" fillId="3" borderId="17" xfId="0" applyFont="1" applyFill="1" applyBorder="1"/>
    <xf numFmtId="0" fontId="7" fillId="3" borderId="18" xfId="2" applyFont="1" applyFill="1" applyBorder="1" applyAlignment="1" applyProtection="1"/>
    <xf numFmtId="0" fontId="37" fillId="3" borderId="0" xfId="0" applyFont="1" applyFill="1"/>
    <xf numFmtId="0" fontId="23" fillId="3" borderId="0" xfId="2" applyFont="1" applyFill="1" applyBorder="1" applyAlignment="1" applyProtection="1"/>
    <xf numFmtId="0" fontId="18" fillId="3" borderId="30" xfId="2" applyFont="1" applyFill="1" applyBorder="1" applyProtection="1"/>
    <xf numFmtId="0" fontId="20" fillId="3" borderId="30" xfId="0" applyFont="1" applyFill="1" applyBorder="1"/>
    <xf numFmtId="0" fontId="20" fillId="3" borderId="19" xfId="0" applyFont="1" applyFill="1" applyBorder="1"/>
    <xf numFmtId="0" fontId="10" fillId="10" borderId="0" xfId="0" applyFont="1" applyFill="1" applyAlignment="1">
      <alignment vertical="center" wrapText="1"/>
    </xf>
    <xf numFmtId="2" fontId="40" fillId="13" borderId="9" xfId="3" applyNumberFormat="1" applyFont="1" applyFill="1" applyBorder="1" applyAlignment="1" applyProtection="1">
      <alignment horizontal="center" vertical="center"/>
    </xf>
    <xf numFmtId="0" fontId="10" fillId="11" borderId="0" xfId="0" applyFont="1" applyFill="1" applyAlignment="1">
      <alignment vertical="center" wrapText="1"/>
    </xf>
    <xf numFmtId="2" fontId="40" fillId="11" borderId="10" xfId="3" applyNumberFormat="1" applyFont="1" applyFill="1" applyBorder="1" applyAlignment="1" applyProtection="1">
      <alignment horizontal="center" vertical="center"/>
    </xf>
    <xf numFmtId="0" fontId="18" fillId="3" borderId="0" xfId="2" applyFont="1" applyFill="1" applyBorder="1" applyProtection="1"/>
    <xf numFmtId="0" fontId="10" fillId="10" borderId="0" xfId="0" applyFont="1" applyFill="1" applyAlignment="1">
      <alignment horizontal="left" vertical="center"/>
    </xf>
    <xf numFmtId="2" fontId="40" fillId="13" borderId="5" xfId="3" applyNumberFormat="1" applyFont="1" applyFill="1" applyBorder="1" applyAlignment="1" applyProtection="1">
      <alignment horizontal="center" vertical="center"/>
    </xf>
    <xf numFmtId="0" fontId="10" fillId="11" borderId="0" xfId="0" applyFont="1" applyFill="1" applyAlignment="1">
      <alignment horizontal="left" vertical="center"/>
    </xf>
    <xf numFmtId="2" fontId="40" fillId="11" borderId="9" xfId="3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right"/>
    </xf>
    <xf numFmtId="2" fontId="6" fillId="3" borderId="0" xfId="0" applyNumberFormat="1" applyFont="1" applyFill="1" applyAlignment="1">
      <alignment horizontal="left"/>
    </xf>
    <xf numFmtId="2" fontId="40" fillId="11" borderId="10" xfId="7" applyNumberFormat="1" applyFont="1" applyFill="1" applyBorder="1" applyAlignment="1" applyProtection="1">
      <alignment horizontal="center" vertical="center"/>
    </xf>
    <xf numFmtId="0" fontId="45" fillId="3" borderId="0" xfId="2" applyFont="1" applyFill="1" applyBorder="1" applyAlignment="1" applyProtection="1">
      <alignment horizontal="right"/>
    </xf>
    <xf numFmtId="0" fontId="6" fillId="3" borderId="0" xfId="0" applyFont="1" applyFill="1" applyAlignment="1">
      <alignment horizontal="left"/>
    </xf>
    <xf numFmtId="0" fontId="6" fillId="3" borderId="18" xfId="0" applyFont="1" applyFill="1" applyBorder="1"/>
    <xf numFmtId="0" fontId="10" fillId="10" borderId="25" xfId="0" applyFont="1" applyFill="1" applyBorder="1" applyAlignment="1">
      <alignment vertical="center" wrapText="1"/>
    </xf>
    <xf numFmtId="0" fontId="10" fillId="11" borderId="11" xfId="0" applyFont="1" applyFill="1" applyBorder="1" applyAlignment="1">
      <alignment vertical="center" wrapText="1"/>
    </xf>
    <xf numFmtId="0" fontId="6" fillId="3" borderId="8" xfId="0" applyFont="1" applyFill="1" applyBorder="1"/>
    <xf numFmtId="2" fontId="8" fillId="3" borderId="0" xfId="3" applyNumberFormat="1" applyFont="1" applyFill="1" applyBorder="1" applyAlignment="1" applyProtection="1">
      <alignment horizontal="center" vertical="center"/>
    </xf>
    <xf numFmtId="2" fontId="8" fillId="13" borderId="3" xfId="3" applyNumberFormat="1" applyFont="1" applyFill="1" applyAlignment="1" applyProtection="1">
      <alignment horizontal="center" vertical="center"/>
    </xf>
    <xf numFmtId="9" fontId="10" fillId="11" borderId="0" xfId="7" applyFont="1" applyFill="1" applyAlignment="1" applyProtection="1">
      <alignment vertical="center" wrapText="1"/>
    </xf>
    <xf numFmtId="2" fontId="8" fillId="11" borderId="5" xfId="3" applyNumberFormat="1" applyFont="1" applyFill="1" applyBorder="1" applyAlignment="1" applyProtection="1">
      <alignment horizontal="center" vertical="center"/>
    </xf>
    <xf numFmtId="2" fontId="8" fillId="11" borderId="7" xfId="3" applyNumberFormat="1" applyFont="1" applyFill="1" applyBorder="1" applyAlignment="1" applyProtection="1">
      <alignment horizontal="center" vertical="center"/>
    </xf>
    <xf numFmtId="2" fontId="8" fillId="11" borderId="9" xfId="3" applyNumberFormat="1" applyFont="1" applyFill="1" applyBorder="1" applyAlignment="1" applyProtection="1">
      <alignment horizontal="center" vertical="center"/>
    </xf>
    <xf numFmtId="167" fontId="8" fillId="13" borderId="3" xfId="3" applyNumberFormat="1" applyFont="1" applyFill="1" applyAlignment="1" applyProtection="1">
      <alignment horizontal="center" vertical="center" wrapText="1"/>
    </xf>
    <xf numFmtId="0" fontId="0" fillId="3" borderId="0" xfId="0" applyFill="1" applyAlignment="1">
      <alignment wrapText="1"/>
    </xf>
    <xf numFmtId="2" fontId="8" fillId="11" borderId="5" xfId="3" applyNumberFormat="1" applyFont="1" applyFill="1" applyBorder="1" applyAlignment="1" applyProtection="1">
      <alignment horizontal="center" vertical="center" wrapText="1"/>
    </xf>
    <xf numFmtId="2" fontId="8" fillId="13" borderId="7" xfId="3" applyNumberFormat="1" applyFont="1" applyFill="1" applyBorder="1" applyAlignment="1" applyProtection="1">
      <alignment horizontal="center" vertical="center"/>
    </xf>
    <xf numFmtId="2" fontId="8" fillId="13" borderId="9" xfId="3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2" fontId="26" fillId="3" borderId="0" xfId="3" applyNumberFormat="1" applyFont="1" applyFill="1" applyBorder="1" applyAlignment="1" applyProtection="1">
      <alignment horizontal="right"/>
    </xf>
    <xf numFmtId="0" fontId="38" fillId="7" borderId="23" xfId="0" applyFont="1" applyFill="1" applyBorder="1"/>
    <xf numFmtId="2" fontId="8" fillId="11" borderId="3" xfId="3" applyNumberFormat="1" applyFont="1" applyFill="1" applyAlignment="1" applyProtection="1">
      <alignment horizontal="center" vertical="center"/>
    </xf>
    <xf numFmtId="2" fontId="8" fillId="13" borderId="3" xfId="3" applyNumberFormat="1" applyFont="1" applyFill="1" applyAlignment="1" applyProtection="1">
      <alignment horizontal="center" vertical="center" wrapText="1"/>
    </xf>
    <xf numFmtId="166" fontId="8" fillId="13" borderId="3" xfId="3" applyNumberFormat="1" applyFont="1" applyFill="1" applyAlignment="1" applyProtection="1">
      <alignment horizontal="center" vertical="center" wrapText="1"/>
    </xf>
    <xf numFmtId="0" fontId="20" fillId="3" borderId="18" xfId="0" applyFont="1" applyFill="1" applyBorder="1"/>
    <xf numFmtId="0" fontId="34" fillId="7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vertical="center"/>
    </xf>
    <xf numFmtId="165" fontId="8" fillId="13" borderId="9" xfId="6" applyNumberFormat="1" applyFont="1" applyFill="1" applyBorder="1" applyAlignment="1" applyProtection="1">
      <alignment horizontal="center" vertical="center"/>
    </xf>
    <xf numFmtId="165" fontId="8" fillId="11" borderId="7" xfId="6" applyNumberFormat="1" applyFont="1" applyFill="1" applyBorder="1" applyAlignment="1" applyProtection="1">
      <alignment horizontal="center" vertical="center"/>
    </xf>
    <xf numFmtId="0" fontId="10" fillId="13" borderId="0" xfId="0" applyFont="1" applyFill="1" applyAlignment="1">
      <alignment vertical="center" wrapText="1"/>
    </xf>
    <xf numFmtId="165" fontId="40" fillId="13" borderId="22" xfId="3" applyNumberFormat="1" applyFont="1" applyFill="1" applyBorder="1" applyAlignment="1" applyProtection="1">
      <alignment horizontal="center" vertical="center"/>
    </xf>
    <xf numFmtId="165" fontId="40" fillId="11" borderId="9" xfId="3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Alignment="1">
      <alignment horizontal="left"/>
    </xf>
    <xf numFmtId="0" fontId="16" fillId="3" borderId="18" xfId="0" applyFont="1" applyFill="1" applyBorder="1"/>
    <xf numFmtId="165" fontId="8" fillId="13" borderId="9" xfId="3" applyNumberFormat="1" applyFont="1" applyFill="1" applyBorder="1" applyAlignment="1" applyProtection="1">
      <alignment horizontal="center" vertical="center"/>
    </xf>
    <xf numFmtId="165" fontId="8" fillId="11" borderId="9" xfId="3" applyNumberFormat="1" applyFont="1" applyFill="1" applyBorder="1" applyAlignment="1" applyProtection="1">
      <alignment horizontal="center" vertical="center"/>
    </xf>
    <xf numFmtId="0" fontId="6" fillId="3" borderId="19" xfId="0" applyFont="1" applyFill="1" applyBorder="1"/>
    <xf numFmtId="0" fontId="35" fillId="12" borderId="0" xfId="0" applyFont="1" applyFill="1" applyAlignment="1">
      <alignment vertical="center" wrapText="1"/>
    </xf>
    <xf numFmtId="0" fontId="8" fillId="11" borderId="9" xfId="3" applyNumberFormat="1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>
      <alignment vertical="center" wrapText="1"/>
    </xf>
    <xf numFmtId="0" fontId="16" fillId="3" borderId="20" xfId="0" applyFont="1" applyFill="1" applyBorder="1"/>
    <xf numFmtId="8" fontId="6" fillId="3" borderId="0" xfId="0" applyNumberFormat="1" applyFont="1" applyFill="1"/>
    <xf numFmtId="0" fontId="16" fillId="5" borderId="0" xfId="0" applyFont="1" applyFill="1"/>
    <xf numFmtId="0" fontId="44" fillId="4" borderId="9" xfId="5" applyFont="1" applyFill="1" applyBorder="1" applyAlignment="1" applyProtection="1">
      <alignment horizontal="center" vertical="center"/>
    </xf>
    <xf numFmtId="0" fontId="42" fillId="7" borderId="18" xfId="0" applyFont="1" applyFill="1" applyBorder="1" applyAlignment="1">
      <alignment horizontal="center" vertical="center" wrapText="1"/>
    </xf>
    <xf numFmtId="0" fontId="42" fillId="7" borderId="0" xfId="0" applyFont="1" applyFill="1" applyAlignment="1">
      <alignment horizontal="center" vertical="center" wrapText="1"/>
    </xf>
    <xf numFmtId="0" fontId="23" fillId="3" borderId="23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6" fillId="3" borderId="15" xfId="4" applyFont="1" applyFill="1" applyBorder="1" applyAlignment="1" applyProtection="1">
      <alignment horizontal="center"/>
    </xf>
    <xf numFmtId="0" fontId="6" fillId="3" borderId="16" xfId="4" applyFont="1" applyFill="1" applyBorder="1" applyAlignment="1" applyProtection="1">
      <alignment horizontal="center"/>
    </xf>
    <xf numFmtId="0" fontId="6" fillId="3" borderId="17" xfId="4" applyFont="1" applyFill="1" applyBorder="1" applyAlignment="1" applyProtection="1">
      <alignment horizontal="center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165" fontId="12" fillId="4" borderId="12" xfId="4" applyNumberFormat="1" applyFont="1" applyFill="1" applyBorder="1" applyAlignment="1" applyProtection="1">
      <alignment horizontal="center" vertical="center"/>
      <protection locked="0"/>
    </xf>
    <xf numFmtId="165" fontId="12" fillId="4" borderId="13" xfId="4" applyNumberFormat="1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left" vertical="top" wrapText="1"/>
      <protection locked="0"/>
    </xf>
    <xf numFmtId="0" fontId="6" fillId="4" borderId="30" xfId="0" applyFont="1" applyFill="1" applyBorder="1" applyAlignment="1" applyProtection="1">
      <alignment horizontal="left" vertical="top" wrapText="1"/>
      <protection locked="0"/>
    </xf>
    <xf numFmtId="0" fontId="6" fillId="4" borderId="31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6" fillId="4" borderId="11" xfId="0" applyFont="1" applyFill="1" applyBorder="1" applyAlignment="1" applyProtection="1">
      <alignment horizontal="left" vertical="top" wrapText="1"/>
      <protection locked="0"/>
    </xf>
    <xf numFmtId="0" fontId="6" fillId="4" borderId="32" xfId="0" applyFont="1" applyFill="1" applyBorder="1" applyAlignment="1" applyProtection="1">
      <alignment horizontal="left" vertical="top" wrapText="1"/>
      <protection locked="0"/>
    </xf>
    <xf numFmtId="0" fontId="6" fillId="4" borderId="23" xfId="0" applyFont="1" applyFill="1" applyBorder="1" applyAlignment="1" applyProtection="1">
      <alignment horizontal="left" vertical="top" wrapText="1"/>
      <protection locked="0"/>
    </xf>
    <xf numFmtId="0" fontId="6" fillId="4" borderId="33" xfId="0" applyFont="1" applyFill="1" applyBorder="1" applyAlignment="1" applyProtection="1">
      <alignment horizontal="left" vertical="top" wrapText="1"/>
      <protection locked="0"/>
    </xf>
    <xf numFmtId="0" fontId="31" fillId="8" borderId="35" xfId="0" applyFont="1" applyFill="1" applyBorder="1" applyAlignment="1">
      <alignment horizontal="center"/>
    </xf>
    <xf numFmtId="0" fontId="23" fillId="3" borderId="24" xfId="2" applyFont="1" applyFill="1" applyBorder="1" applyAlignment="1" applyProtection="1">
      <alignment horizontal="center"/>
    </xf>
    <xf numFmtId="0" fontId="33" fillId="6" borderId="27" xfId="0" applyFont="1" applyFill="1" applyBorder="1" applyAlignment="1">
      <alignment horizontal="center" vertical="center" wrapText="1"/>
    </xf>
    <xf numFmtId="0" fontId="39" fillId="11" borderId="27" xfId="2" applyFont="1" applyFill="1" applyBorder="1" applyAlignment="1" applyProtection="1">
      <alignment horizontal="center"/>
    </xf>
    <xf numFmtId="0" fontId="33" fillId="6" borderId="23" xfId="0" applyFont="1" applyFill="1" applyBorder="1" applyAlignment="1">
      <alignment horizontal="center" wrapText="1"/>
    </xf>
    <xf numFmtId="0" fontId="32" fillId="7" borderId="0" xfId="0" applyFont="1" applyFill="1" applyAlignment="1">
      <alignment horizontal="center" vertical="center" wrapText="1"/>
    </xf>
    <xf numFmtId="0" fontId="33" fillId="12" borderId="23" xfId="0" applyFont="1" applyFill="1" applyBorder="1" applyAlignment="1">
      <alignment horizontal="center" wrapText="1"/>
    </xf>
    <xf numFmtId="0" fontId="36" fillId="6" borderId="23" xfId="0" applyFont="1" applyFill="1" applyBorder="1" applyAlignment="1">
      <alignment horizontal="center" wrapText="1"/>
    </xf>
    <xf numFmtId="0" fontId="36" fillId="12" borderId="23" xfId="0" applyFont="1" applyFill="1" applyBorder="1" applyAlignment="1">
      <alignment horizontal="center"/>
    </xf>
  </cellXfs>
  <cellStyles count="8">
    <cellStyle name="Currency" xfId="6" builtinId="4"/>
    <cellStyle name="Heading 1" xfId="2" builtinId="16"/>
    <cellStyle name="Heading 3" xfId="1" builtinId="18"/>
    <cellStyle name="Hyperlink" xfId="5" builtinId="8"/>
    <cellStyle name="Normal" xfId="0" builtinId="0"/>
    <cellStyle name="Output" xfId="3" builtinId="21"/>
    <cellStyle name="Percent" xfId="7" builtinId="5"/>
    <cellStyle name="Total" xfId="4" builtinId="25"/>
  </cellStyles>
  <dxfs count="2">
    <dxf>
      <font>
        <color rgb="FFFF0000"/>
      </font>
    </dxf>
    <dxf>
      <font>
        <color rgb="FF4C9249"/>
      </font>
    </dxf>
  </dxfs>
  <tableStyles count="0" defaultTableStyle="TableStyleMedium2" defaultPivotStyle="PivotStyleLight16"/>
  <colors>
    <mruColors>
      <color rgb="FF0000FF"/>
      <color rgb="FFFAC094"/>
      <color rgb="FFE2EFDA"/>
      <color rgb="FF000000"/>
      <color rgb="FFF47921"/>
      <color rgb="FF114827"/>
      <color rgb="FF9FE9BD"/>
      <color rgb="FFFCE4D6"/>
      <color rgb="FFF2F2F2"/>
      <color rgb="FFBF5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enteric emisisons lb CO</a:t>
            </a:r>
            <a:r>
              <a:rPr lang="en-US" baseline="-25000"/>
              <a:t>2</a:t>
            </a:r>
            <a:r>
              <a:rPr lang="en-US"/>
              <a:t>e / cwt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88016653825021"/>
          <c:y val="0.11512610917241962"/>
          <c:w val="0.81482839985154032"/>
          <c:h val="0.773045825701651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1482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7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C-4138-94E0-9E9B811FA0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'Dairy cattle enteric calc'!$I$38:$I$39</c:f>
              <c:strCache>
                <c:ptCount val="2"/>
                <c:pt idx="0">
                  <c:v>Baseline</c:v>
                </c:pt>
                <c:pt idx="1">
                  <c:v>Additive</c:v>
                </c:pt>
              </c:strCache>
            </c:strRef>
          </c:cat>
          <c:val>
            <c:numRef>
              <c:f>'Dairy cattle enteric calc'!$J$38:$J$39</c:f>
              <c:numCache>
                <c:formatCode>0.00</c:formatCode>
                <c:ptCount val="2"/>
                <c:pt idx="0">
                  <c:v>29.000823367753259</c:v>
                </c:pt>
                <c:pt idx="1">
                  <c:v>29.000823367753263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C-4138-94E0-9E9B811FA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424823231"/>
        <c:axId val="1424813663"/>
      </c:barChart>
      <c:catAx>
        <c:axId val="1424823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Scenario</a:t>
                </a:r>
              </a:p>
            </c:rich>
          </c:tx>
          <c:layout>
            <c:manualLayout>
              <c:xMode val="edge"/>
              <c:yMode val="edge"/>
              <c:x val="0.48823817076027931"/>
              <c:y val="0.94071027013516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13663"/>
        <c:crossesAt val="0"/>
        <c:auto val="1"/>
        <c:lblAlgn val="ctr"/>
        <c:lblOffset val="100"/>
        <c:noMultiLvlLbl val="0"/>
      </c:catAx>
      <c:valAx>
        <c:axId val="1424813663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 enteric emisisons lb CO</a:t>
                </a:r>
                <a:r>
                  <a:rPr lang="en-US" baseline="-25000"/>
                  <a:t>2</a:t>
                </a:r>
                <a:r>
                  <a:rPr lang="en-US"/>
                  <a:t>e / cwt</a:t>
                </a:r>
              </a:p>
            </c:rich>
          </c:tx>
          <c:layout>
            <c:manualLayout>
              <c:xMode val="edge"/>
              <c:yMode val="edge"/>
              <c:x val="2.1007114290262058E-2"/>
              <c:y val="0.1562906527170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23231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Income over feed costs with carbon value, $ / cwt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0297256584131"/>
          <c:y val="0.11512610917241962"/>
          <c:w val="0.81926936888953239"/>
          <c:h val="0.76449070053427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1482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7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C-4138-94E0-9E9B811FA0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'Dairy cattle enteric calc'!$I$57:$I$58</c:f>
              <c:strCache>
                <c:ptCount val="2"/>
                <c:pt idx="0">
                  <c:v>Baseline</c:v>
                </c:pt>
                <c:pt idx="1">
                  <c:v>Additive</c:v>
                </c:pt>
              </c:strCache>
            </c:strRef>
          </c:cat>
          <c:val>
            <c:numRef>
              <c:f>'Dairy cattle enteric calc'!$J$57:$J$58</c:f>
              <c:numCache>
                <c:formatCode>"$"#,##0.00</c:formatCode>
                <c:ptCount val="2"/>
                <c:pt idx="0">
                  <c:v>10.865110526315789</c:v>
                </c:pt>
                <c:pt idx="1">
                  <c:v>10.707215789473683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C-4138-94E0-9E9B811FA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424823231"/>
        <c:axId val="1424813663"/>
      </c:barChart>
      <c:catAx>
        <c:axId val="1424823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Scenario</a:t>
                </a:r>
              </a:p>
            </c:rich>
          </c:tx>
          <c:layout>
            <c:manualLayout>
              <c:xMode val="edge"/>
              <c:yMode val="edge"/>
              <c:x val="0.48823817076027931"/>
              <c:y val="0.94071027013516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13663"/>
        <c:crossesAt val="0"/>
        <c:auto val="1"/>
        <c:lblAlgn val="ctr"/>
        <c:lblOffset val="100"/>
        <c:noMultiLvlLbl val="0"/>
      </c:catAx>
      <c:valAx>
        <c:axId val="1424813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/>
                  <a:t>Cash basis margin  $ /</a:t>
                </a:r>
                <a:r>
                  <a:rPr lang="en-US" sz="1100" baseline="0"/>
                  <a:t> cwt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482231288736657E-2"/>
              <c:y val="0.19835895868216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2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Total enteric emisisons lb CO</a:t>
            </a:r>
            <a:r>
              <a:rPr lang="en-US" baseline="-25000"/>
              <a:t>2</a:t>
            </a:r>
            <a:r>
              <a:rPr lang="en-US"/>
              <a:t>e / hd / 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88016653825021"/>
          <c:y val="0.11512610917241962"/>
          <c:w val="0.81484145915155071"/>
          <c:h val="0.773045825701651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1482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FAB-446B-8D7A-8E32406C7F76}"/>
              </c:ext>
            </c:extLst>
          </c:dPt>
          <c:dPt>
            <c:idx val="1"/>
            <c:invertIfNegative val="0"/>
            <c:bubble3D val="0"/>
            <c:spPr>
              <a:solidFill>
                <a:srgbClr val="F47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3C-4138-94E0-9E9B811FA0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'Dairy cattle enteric calc'!$I$31:$I$32</c:f>
              <c:strCache>
                <c:ptCount val="2"/>
                <c:pt idx="0">
                  <c:v>Baseline</c:v>
                </c:pt>
                <c:pt idx="1">
                  <c:v>Additive</c:v>
                </c:pt>
              </c:strCache>
            </c:strRef>
          </c:cat>
          <c:val>
            <c:numRef>
              <c:f>'Dairy cattle enteric calc'!$J$31:$J$32</c:f>
              <c:numCache>
                <c:formatCode>0.00</c:formatCode>
                <c:ptCount val="2"/>
                <c:pt idx="0">
                  <c:v>27.550782199365599</c:v>
                </c:pt>
                <c:pt idx="1">
                  <c:v>27.550782199365599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C-4138-94E0-9E9B811FA0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424823231"/>
        <c:axId val="1424813663"/>
      </c:barChart>
      <c:catAx>
        <c:axId val="1424823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Scenario</a:t>
                </a:r>
              </a:p>
            </c:rich>
          </c:tx>
          <c:layout>
            <c:manualLayout>
              <c:xMode val="edge"/>
              <c:yMode val="edge"/>
              <c:x val="0.48823817076027931"/>
              <c:y val="0.94071027013516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13663"/>
        <c:crossesAt val="0"/>
        <c:auto val="1"/>
        <c:lblAlgn val="ctr"/>
        <c:lblOffset val="100"/>
        <c:noMultiLvlLbl val="0"/>
      </c:catAx>
      <c:valAx>
        <c:axId val="1424813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 enteric</a:t>
                </a:r>
                <a:r>
                  <a:rPr lang="en-US" baseline="0"/>
                  <a:t> emissions </a:t>
                </a:r>
                <a:r>
                  <a:rPr lang="en-US"/>
                  <a:t>lb CO</a:t>
                </a:r>
                <a:r>
                  <a:rPr lang="en-US" baseline="-25000"/>
                  <a:t>2</a:t>
                </a:r>
                <a:r>
                  <a:rPr lang="en-US"/>
                  <a:t>e / hd  / d </a:t>
                </a:r>
              </a:p>
            </c:rich>
          </c:tx>
          <c:layout>
            <c:manualLayout>
              <c:xMode val="edge"/>
              <c:yMode val="edge"/>
              <c:x val="1.8603476752957725E-2"/>
              <c:y val="0.119732331404437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2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/>
              <a:t>Total enteric emisisons kg CO</a:t>
            </a:r>
            <a:r>
              <a:rPr lang="en-US" sz="1100" baseline="-25000"/>
              <a:t>2</a:t>
            </a:r>
            <a:r>
              <a:rPr lang="en-US" sz="1100"/>
              <a:t>e / kg FPCM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28127884000337"/>
          <c:y val="0.13290378441565442"/>
          <c:w val="0.81072023616606514"/>
          <c:h val="0.7441254738990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14827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4792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08-43F8-9D8A-93B2C1A03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'Dairy cattle enteric calc'!$I$48:$I$49</c:f>
              <c:strCache>
                <c:ptCount val="2"/>
                <c:pt idx="0">
                  <c:v>Baseline</c:v>
                </c:pt>
                <c:pt idx="1">
                  <c:v>Additive</c:v>
                </c:pt>
              </c:strCache>
            </c:strRef>
          </c:cat>
          <c:val>
            <c:numRef>
              <c:f>'Dairy cattle enteric calc'!$J$48:$J$49</c:f>
              <c:numCache>
                <c:formatCode>0.00</c:formatCode>
                <c:ptCount val="2"/>
                <c:pt idx="0">
                  <c:v>0.30665337909479834</c:v>
                </c:pt>
                <c:pt idx="1">
                  <c:v>0.30665337909479834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6-46E6-A426-74193A5DFD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424823231"/>
        <c:axId val="1424813663"/>
      </c:barChart>
      <c:catAx>
        <c:axId val="1424823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13663"/>
        <c:crosses val="autoZero"/>
        <c:auto val="1"/>
        <c:lblAlgn val="ctr"/>
        <c:lblOffset val="100"/>
        <c:noMultiLvlLbl val="0"/>
      </c:catAx>
      <c:valAx>
        <c:axId val="1424813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Total emissions, kg CO2e / kg FPCM</a:t>
                </a:r>
              </a:p>
            </c:rich>
          </c:tx>
          <c:layout>
            <c:manualLayout>
              <c:xMode val="edge"/>
              <c:yMode val="edge"/>
              <c:x val="3.271614736047735E-2"/>
              <c:y val="0.13401699537889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4823231"/>
        <c:crosses val="autoZero"/>
        <c:crossBetween val="between"/>
      </c:valAx>
      <c:spPr>
        <a:solidFill>
          <a:schemeClr val="bg1">
            <a:alpha val="10196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205183</xdr:colOff>
      <xdr:row>37</xdr:row>
      <xdr:rowOff>195153</xdr:rowOff>
    </xdr:from>
    <xdr:to>
      <xdr:col>10</xdr:col>
      <xdr:colOff>73131</xdr:colOff>
      <xdr:row>46</xdr:row>
      <xdr:rowOff>121577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E56601-627C-4D2F-B275-8C6AFB571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223151</xdr:colOff>
      <xdr:row>55</xdr:row>
      <xdr:rowOff>318315</xdr:rowOff>
    </xdr:from>
    <xdr:to>
      <xdr:col>10</xdr:col>
      <xdr:colOff>55163</xdr:colOff>
      <xdr:row>66</xdr:row>
      <xdr:rowOff>199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90183B-4ED9-46FE-ACBA-75B2785CF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205183</xdr:colOff>
      <xdr:row>27</xdr:row>
      <xdr:rowOff>228862</xdr:rowOff>
    </xdr:from>
    <xdr:to>
      <xdr:col>10</xdr:col>
      <xdr:colOff>73131</xdr:colOff>
      <xdr:row>37</xdr:row>
      <xdr:rowOff>58133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B578B8-995B-45D2-B9E7-D701D595029D}"/>
            </a:ext>
            <a:ext uri="{147F2762-F138-4A5C-976F-8EAC2B608ADB}">
              <a16:predDERef xmlns:a16="http://schemas.microsoft.com/office/drawing/2014/main" pred="{7A90183B-4ED9-46FE-ACBA-75B2785CF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216626</xdr:colOff>
      <xdr:row>46</xdr:row>
      <xdr:rowOff>249072</xdr:rowOff>
    </xdr:from>
    <xdr:to>
      <xdr:col>10</xdr:col>
      <xdr:colOff>61688</xdr:colOff>
      <xdr:row>55</xdr:row>
      <xdr:rowOff>190821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6CB935F-E408-48DE-A3CB-B1DD55CA2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9525</xdr:colOff>
      <xdr:row>1</xdr:row>
      <xdr:rowOff>114300</xdr:rowOff>
    </xdr:from>
    <xdr:to>
      <xdr:col>2</xdr:col>
      <xdr:colOff>2486025</xdr:colOff>
      <xdr:row>4</xdr:row>
      <xdr:rowOff>209550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AFDE18A-E9D3-4FF6-9082-99D05B7B0C57}"/>
            </a:ext>
            <a:ext uri="{147F2762-F138-4A5C-976F-8EAC2B608ADB}">
              <a16:predDERef xmlns:a16="http://schemas.microsoft.com/office/drawing/2014/main" pred="{C6CB935F-E408-48DE-A3CB-B1DD55CA2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314325"/>
          <a:ext cx="2476500" cy="1485900"/>
        </a:xfrm>
        <a:prstGeom prst="rect">
          <a:avLst/>
        </a:prstGeom>
      </xdr:spPr>
    </xdr:pic>
    <xdr:clientData/>
  </xdr:twoCellAnchor>
  <xdr:twoCellAnchor editAs="oneCell">
    <xdr:from>
      <xdr:col>8</xdr:col>
      <xdr:colOff>2505075</xdr:colOff>
      <xdr:row>1</xdr:row>
      <xdr:rowOff>114300</xdr:rowOff>
    </xdr:from>
    <xdr:to>
      <xdr:col>10</xdr:col>
      <xdr:colOff>9525</xdr:colOff>
      <xdr:row>4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FBDA2-7DDC-4678-91CD-03511F479131}"/>
            </a:ext>
            <a:ext uri="{147F2762-F138-4A5C-976F-8EAC2B608ADB}">
              <a16:predDERef xmlns:a16="http://schemas.microsoft.com/office/drawing/2014/main" pred="{BAFDE18A-E9D3-4FF6-9082-99D05B7B0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8875" y="314325"/>
          <a:ext cx="2476500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19050</xdr:rowOff>
    </xdr:from>
    <xdr:to>
      <xdr:col>8</xdr:col>
      <xdr:colOff>676275</xdr:colOff>
      <xdr:row>17</xdr:row>
      <xdr:rowOff>148236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29C369-31A9-131E-637F-681A2E55E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19075"/>
          <a:ext cx="4819650" cy="273903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1685925</xdr:colOff>
      <xdr:row>19</xdr:row>
      <xdr:rowOff>76200</xdr:rowOff>
    </xdr:from>
    <xdr:to>
      <xdr:col>10</xdr:col>
      <xdr:colOff>325476</xdr:colOff>
      <xdr:row>32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BB9C7D-8CBB-9F4F-FA54-D9939A7F2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3171825"/>
          <a:ext cx="5907126" cy="2047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s.usda.gov/mnreports/dymclassprices.pdf" TargetMode="External"/><Relationship Id="rId2" Type="http://schemas.openxmlformats.org/officeDocument/2006/relationships/hyperlink" Target="https://carboncredits.com/carbon-prices-today" TargetMode="External"/><Relationship Id="rId1" Type="http://schemas.openxmlformats.org/officeDocument/2006/relationships/hyperlink" Target="https://agnext.colostate.edu/carbon-market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gnext.colostate.edu/wp-content/uploads/sites/14/2024/04/Finding-NDF-Value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62AD-3A07-484D-B5E8-DB80C6C82BDD}">
  <sheetPr codeName="Sheet2">
    <pageSetUpPr fitToPage="1"/>
  </sheetPr>
  <dimension ref="A1:L68"/>
  <sheetViews>
    <sheetView tabSelected="1" topLeftCell="A8" zoomScaleNormal="100" zoomScaleSheetLayoutView="55" zoomScalePageLayoutView="70" workbookViewId="0">
      <selection activeCell="D8" sqref="D8:F8"/>
    </sheetView>
  </sheetViews>
  <sheetFormatPr baseColWidth="10" defaultColWidth="9" defaultRowHeight="16"/>
  <cols>
    <col min="1" max="1" width="3.6640625" style="20" customWidth="1"/>
    <col min="2" max="2" width="3.6640625" style="142" customWidth="1"/>
    <col min="3" max="3" width="42.6640625" style="20" customWidth="1"/>
    <col min="4" max="4" width="22.6640625" style="20" customWidth="1"/>
    <col min="5" max="5" width="5.6640625" style="20" customWidth="1"/>
    <col min="6" max="6" width="42.6640625" style="20" customWidth="1"/>
    <col min="7" max="7" width="22.6640625" style="20" customWidth="1"/>
    <col min="8" max="8" width="5.6640625" style="20" customWidth="1"/>
    <col min="9" max="9" width="42.6640625" style="20" customWidth="1"/>
    <col min="10" max="10" width="22.6640625" style="20" customWidth="1"/>
    <col min="11" max="12" width="3.6640625" style="20" customWidth="1"/>
    <col min="13" max="16384" width="9" style="20"/>
  </cols>
  <sheetData>
    <row r="1" spans="1:12" ht="17" thickBot="1">
      <c r="A1" s="18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4.25" customHeight="1">
      <c r="A2" s="18"/>
      <c r="B2" s="147" t="s">
        <v>0</v>
      </c>
      <c r="C2" s="148"/>
      <c r="D2" s="148"/>
      <c r="E2" s="148"/>
      <c r="F2" s="148"/>
      <c r="G2" s="148"/>
      <c r="H2" s="148"/>
      <c r="I2" s="148"/>
      <c r="J2" s="148"/>
      <c r="K2" s="21"/>
      <c r="L2" s="22"/>
    </row>
    <row r="3" spans="1:12" ht="51" customHeight="1">
      <c r="A3" s="18"/>
      <c r="B3" s="144" t="s">
        <v>1</v>
      </c>
      <c r="C3" s="145"/>
      <c r="D3" s="145"/>
      <c r="E3" s="145"/>
      <c r="F3" s="145"/>
      <c r="G3" s="145"/>
      <c r="H3" s="145"/>
      <c r="I3" s="145"/>
      <c r="J3" s="145"/>
      <c r="K3" s="23"/>
      <c r="L3" s="22"/>
    </row>
    <row r="4" spans="1:12" ht="24.75" customHeight="1">
      <c r="A4" s="18"/>
      <c r="B4" s="144"/>
      <c r="C4" s="145"/>
      <c r="D4" s="145"/>
      <c r="E4" s="145"/>
      <c r="F4" s="145"/>
      <c r="G4" s="145"/>
      <c r="H4" s="145"/>
      <c r="I4" s="145"/>
      <c r="J4" s="145"/>
      <c r="K4" s="24"/>
      <c r="L4" s="25"/>
    </row>
    <row r="5" spans="1:12" ht="24.75" customHeight="1">
      <c r="A5" s="18"/>
      <c r="B5" s="157" t="s">
        <v>116</v>
      </c>
      <c r="C5" s="158"/>
      <c r="D5" s="158"/>
      <c r="E5" s="158"/>
      <c r="F5" s="158"/>
      <c r="G5" s="158"/>
      <c r="H5" s="158"/>
      <c r="I5" s="158"/>
      <c r="J5" s="158"/>
      <c r="K5" s="26"/>
      <c r="L5" s="27"/>
    </row>
    <row r="6" spans="1:12" ht="24.75" customHeight="1" thickBot="1">
      <c r="A6" s="18"/>
      <c r="B6" s="28"/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1:12" ht="24.75" customHeight="1">
      <c r="A7" s="18"/>
      <c r="B7" s="29"/>
      <c r="C7" s="30"/>
      <c r="D7" s="31"/>
      <c r="E7" s="31"/>
      <c r="F7" s="31"/>
      <c r="G7" s="31"/>
      <c r="H7" s="31"/>
      <c r="I7" s="31"/>
      <c r="J7" s="31"/>
      <c r="K7" s="32"/>
      <c r="L7" s="27"/>
    </row>
    <row r="8" spans="1:12" ht="24.75" customHeight="1">
      <c r="A8" s="18"/>
      <c r="B8" s="33"/>
      <c r="C8" s="34" t="s">
        <v>2</v>
      </c>
      <c r="D8" s="159"/>
      <c r="E8" s="160"/>
      <c r="F8" s="161"/>
      <c r="G8" s="34" t="s">
        <v>3</v>
      </c>
      <c r="H8" s="162"/>
      <c r="I8" s="163"/>
      <c r="J8" s="164"/>
      <c r="K8" s="35"/>
      <c r="L8" s="27"/>
    </row>
    <row r="9" spans="1:12" ht="24.75" customHeight="1">
      <c r="A9" s="18"/>
      <c r="B9" s="33"/>
      <c r="C9" s="34" t="s">
        <v>4</v>
      </c>
      <c r="D9" s="159"/>
      <c r="E9" s="160"/>
      <c r="F9" s="161"/>
      <c r="G9" s="36"/>
      <c r="H9" s="165"/>
      <c r="I9" s="166"/>
      <c r="J9" s="167"/>
      <c r="K9" s="35"/>
      <c r="L9" s="27"/>
    </row>
    <row r="10" spans="1:12" ht="24.75" customHeight="1">
      <c r="A10" s="18"/>
      <c r="B10" s="33"/>
      <c r="C10" s="34" t="s">
        <v>5</v>
      </c>
      <c r="D10" s="159"/>
      <c r="E10" s="160"/>
      <c r="F10" s="161"/>
      <c r="G10" s="36"/>
      <c r="H10" s="168"/>
      <c r="I10" s="169"/>
      <c r="J10" s="170"/>
      <c r="K10" s="35"/>
      <c r="L10" s="27"/>
    </row>
    <row r="11" spans="1:12" ht="24.75" customHeight="1" thickBot="1">
      <c r="A11" s="18"/>
      <c r="B11" s="37"/>
      <c r="C11" s="38"/>
      <c r="D11" s="38"/>
      <c r="E11" s="38"/>
      <c r="F11" s="38"/>
      <c r="G11" s="38"/>
      <c r="H11" s="38"/>
      <c r="I11" s="38"/>
      <c r="J11" s="38"/>
      <c r="K11" s="39"/>
      <c r="L11" s="27"/>
    </row>
    <row r="12" spans="1:12" ht="14.25" customHeight="1">
      <c r="A12" s="40"/>
      <c r="B12" s="40"/>
      <c r="C12" s="18"/>
      <c r="D12" s="18"/>
      <c r="E12" s="18"/>
      <c r="F12" s="18"/>
      <c r="G12" s="18"/>
      <c r="H12" s="18"/>
      <c r="I12" s="18"/>
      <c r="J12" s="18"/>
      <c r="K12" s="40"/>
      <c r="L12" s="40"/>
    </row>
    <row r="13" spans="1:12" ht="23.5" customHeight="1" thickBot="1">
      <c r="A13" s="18"/>
      <c r="B13" s="28"/>
      <c r="C13" s="176" t="s">
        <v>6</v>
      </c>
      <c r="D13" s="176"/>
      <c r="E13" s="176"/>
      <c r="F13" s="176"/>
      <c r="G13" s="176"/>
      <c r="H13" s="176"/>
      <c r="I13" s="176"/>
      <c r="J13" s="176"/>
      <c r="K13" s="28"/>
      <c r="L13" s="27"/>
    </row>
    <row r="14" spans="1:12" ht="18.75" customHeight="1">
      <c r="A14" s="18"/>
      <c r="B14" s="41"/>
      <c r="C14" s="42" t="s">
        <v>7</v>
      </c>
      <c r="D14" s="43"/>
      <c r="E14" s="44"/>
      <c r="F14" s="45" t="s">
        <v>8</v>
      </c>
      <c r="G14" s="46"/>
      <c r="H14" s="47"/>
      <c r="I14" s="45" t="s">
        <v>9</v>
      </c>
      <c r="J14" s="45"/>
      <c r="K14" s="48"/>
      <c r="L14" s="18"/>
    </row>
    <row r="15" spans="1:12" ht="40" customHeight="1">
      <c r="A15" s="18"/>
      <c r="B15" s="49"/>
      <c r="C15" s="50" t="s">
        <v>10</v>
      </c>
      <c r="D15" s="8">
        <v>1500</v>
      </c>
      <c r="E15" s="51"/>
      <c r="F15" s="52" t="s">
        <v>11</v>
      </c>
      <c r="G15" s="9">
        <v>95</v>
      </c>
      <c r="H15" s="18"/>
      <c r="I15" s="53" t="s">
        <v>12</v>
      </c>
      <c r="J15" s="10">
        <v>0</v>
      </c>
      <c r="K15" s="54"/>
      <c r="L15" s="18"/>
    </row>
    <row r="16" spans="1:12" ht="40" customHeight="1">
      <c r="A16" s="18"/>
      <c r="B16" s="55"/>
      <c r="C16" s="56" t="s">
        <v>13</v>
      </c>
      <c r="D16" s="57"/>
      <c r="E16" s="51"/>
      <c r="F16" s="58" t="s">
        <v>14</v>
      </c>
      <c r="G16" s="11">
        <v>3.8</v>
      </c>
      <c r="H16" s="18"/>
      <c r="I16" s="59" t="s">
        <v>15</v>
      </c>
      <c r="J16" s="12">
        <v>3.1</v>
      </c>
      <c r="K16" s="60"/>
      <c r="L16" s="18"/>
    </row>
    <row r="17" spans="1:12" ht="40" customHeight="1">
      <c r="A17" s="18"/>
      <c r="B17" s="55"/>
      <c r="C17" s="50" t="s">
        <v>16</v>
      </c>
      <c r="D17" s="13">
        <v>55</v>
      </c>
      <c r="E17" s="61"/>
      <c r="F17" s="58" t="s">
        <v>17</v>
      </c>
      <c r="G17" s="14">
        <v>3.15</v>
      </c>
      <c r="H17" s="18"/>
      <c r="I17" s="59" t="s">
        <v>18</v>
      </c>
      <c r="J17" s="12">
        <v>1.22</v>
      </c>
      <c r="K17" s="62"/>
      <c r="L17" s="18"/>
    </row>
    <row r="18" spans="1:12" ht="40" customHeight="1">
      <c r="A18" s="18"/>
      <c r="B18" s="49"/>
      <c r="C18" s="63" t="s">
        <v>19</v>
      </c>
      <c r="D18" s="14">
        <v>34.9</v>
      </c>
      <c r="E18" s="61"/>
      <c r="F18" s="58" t="s">
        <v>20</v>
      </c>
      <c r="G18" s="14">
        <v>5.77</v>
      </c>
      <c r="H18" s="18"/>
      <c r="I18" s="59" t="s">
        <v>21</v>
      </c>
      <c r="J18" s="10">
        <v>0.27</v>
      </c>
      <c r="K18" s="62"/>
      <c r="L18" s="18"/>
    </row>
    <row r="19" spans="1:12" ht="40" customHeight="1">
      <c r="A19" s="18"/>
      <c r="B19" s="49"/>
      <c r="C19" s="64" t="s">
        <v>22</v>
      </c>
      <c r="D19" s="143" t="s">
        <v>115</v>
      </c>
      <c r="E19" s="65"/>
      <c r="F19" s="66"/>
      <c r="G19" s="66"/>
      <c r="H19" s="18"/>
      <c r="I19" s="59" t="s">
        <v>23</v>
      </c>
      <c r="J19" s="10">
        <v>0</v>
      </c>
      <c r="K19" s="62"/>
      <c r="L19" s="18"/>
    </row>
    <row r="20" spans="1:12" ht="40" customHeight="1">
      <c r="A20" s="18"/>
      <c r="B20" s="49"/>
      <c r="C20" s="59" t="s">
        <v>24</v>
      </c>
      <c r="D20" s="12">
        <v>6</v>
      </c>
      <c r="E20" s="65"/>
      <c r="F20" s="67" t="s">
        <v>25</v>
      </c>
      <c r="G20" s="68" t="s">
        <v>26</v>
      </c>
      <c r="H20" s="18"/>
      <c r="I20" s="52" t="s">
        <v>27</v>
      </c>
      <c r="J20" s="69" t="s">
        <v>28</v>
      </c>
      <c r="K20" s="62"/>
      <c r="L20" s="18"/>
    </row>
    <row r="21" spans="1:12" ht="40" customHeight="1">
      <c r="A21" s="18"/>
      <c r="B21" s="49"/>
      <c r="C21" s="146" t="s">
        <v>29</v>
      </c>
      <c r="D21" s="146"/>
      <c r="E21" s="146"/>
      <c r="F21" s="146"/>
      <c r="G21" s="146"/>
      <c r="H21" s="146"/>
      <c r="I21" s="146"/>
      <c r="J21" s="146"/>
      <c r="K21" s="62"/>
      <c r="L21" s="18"/>
    </row>
    <row r="22" spans="1:12" ht="51.75" customHeight="1">
      <c r="A22" s="18"/>
      <c r="B22" s="49"/>
      <c r="C22" s="52" t="s">
        <v>30</v>
      </c>
      <c r="D22" s="15">
        <v>0</v>
      </c>
      <c r="E22" s="18"/>
      <c r="F22" s="50" t="s">
        <v>31</v>
      </c>
      <c r="G22" s="15">
        <v>0</v>
      </c>
      <c r="H22" s="18"/>
      <c r="I22" s="50" t="s">
        <v>32</v>
      </c>
      <c r="J22" s="16">
        <v>0.15</v>
      </c>
      <c r="K22" s="62"/>
      <c r="L22" s="18"/>
    </row>
    <row r="23" spans="1:12" ht="42" customHeight="1">
      <c r="A23" s="18"/>
      <c r="B23" s="55"/>
      <c r="C23" s="52" t="s">
        <v>33</v>
      </c>
      <c r="D23" s="17">
        <v>0</v>
      </c>
      <c r="E23" s="18"/>
      <c r="F23" s="50" t="s">
        <v>34</v>
      </c>
      <c r="G23" s="17">
        <v>0</v>
      </c>
      <c r="H23" s="18"/>
      <c r="I23" s="50" t="s">
        <v>35</v>
      </c>
      <c r="J23" s="12">
        <v>0</v>
      </c>
      <c r="K23" s="62"/>
      <c r="L23" s="18"/>
    </row>
    <row r="24" spans="1:12" ht="42" customHeight="1">
      <c r="A24" s="18"/>
      <c r="B24" s="70"/>
      <c r="C24" s="50" t="s">
        <v>36</v>
      </c>
      <c r="D24" s="17">
        <v>0</v>
      </c>
      <c r="E24" s="18"/>
      <c r="F24" s="50" t="s">
        <v>37</v>
      </c>
      <c r="G24" s="17">
        <v>0</v>
      </c>
      <c r="H24" s="18"/>
      <c r="I24" s="71" t="s">
        <v>38</v>
      </c>
      <c r="J24" s="72" t="s">
        <v>39</v>
      </c>
      <c r="K24" s="62"/>
      <c r="L24" s="18"/>
    </row>
    <row r="25" spans="1:12" ht="19.5" customHeight="1" thickBot="1">
      <c r="A25" s="18"/>
      <c r="B25" s="73"/>
      <c r="C25" s="74"/>
      <c r="D25" s="74"/>
      <c r="E25" s="75"/>
      <c r="F25" s="75"/>
      <c r="G25" s="75"/>
      <c r="H25" s="75"/>
      <c r="I25" s="75"/>
      <c r="J25" s="75"/>
      <c r="K25" s="76"/>
      <c r="L25" s="18"/>
    </row>
    <row r="26" spans="1:12" ht="14.25" customHeight="1">
      <c r="A26" s="40" t="s">
        <v>40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23.25" customHeight="1">
      <c r="A27" s="40"/>
      <c r="B27" s="40"/>
      <c r="C27" s="176" t="s">
        <v>41</v>
      </c>
      <c r="D27" s="176"/>
      <c r="E27" s="176"/>
      <c r="F27" s="176"/>
      <c r="G27" s="176"/>
      <c r="H27" s="176"/>
      <c r="I27" s="176"/>
      <c r="J27" s="176"/>
      <c r="K27" s="40"/>
      <c r="L27" s="40"/>
    </row>
    <row r="28" spans="1:12" ht="18.75" customHeight="1">
      <c r="A28" s="40"/>
      <c r="B28" s="77"/>
      <c r="C28" s="171" t="s">
        <v>42</v>
      </c>
      <c r="D28" s="171"/>
      <c r="E28" s="78"/>
      <c r="F28" s="172" t="s">
        <v>43</v>
      </c>
      <c r="G28" s="172"/>
      <c r="H28" s="79"/>
      <c r="I28" s="80"/>
      <c r="J28" s="78"/>
      <c r="K28" s="81"/>
      <c r="L28" s="40"/>
    </row>
    <row r="29" spans="1:12" ht="18.75" customHeight="1">
      <c r="A29" s="40"/>
      <c r="B29" s="82"/>
      <c r="C29" s="173" t="s">
        <v>44</v>
      </c>
      <c r="D29" s="173"/>
      <c r="E29" s="83"/>
      <c r="F29" s="174" t="s">
        <v>44</v>
      </c>
      <c r="G29" s="174"/>
      <c r="H29" s="84"/>
      <c r="I29" s="85"/>
      <c r="J29" s="86"/>
      <c r="K29" s="87"/>
      <c r="L29" s="40"/>
    </row>
    <row r="30" spans="1:12" ht="30" customHeight="1">
      <c r="A30" s="40"/>
      <c r="B30" s="82"/>
      <c r="C30" s="88" t="s">
        <v>45</v>
      </c>
      <c r="D30" s="89">
        <f>D17</f>
        <v>55</v>
      </c>
      <c r="E30" s="40"/>
      <c r="F30" s="90" t="s">
        <v>46</v>
      </c>
      <c r="G30" s="91">
        <f>D17*(1+D23)</f>
        <v>55</v>
      </c>
      <c r="H30" s="84"/>
      <c r="I30" s="92"/>
      <c r="J30" s="40"/>
      <c r="K30" s="87"/>
      <c r="L30" s="40"/>
    </row>
    <row r="31" spans="1:12" ht="30" customHeight="1">
      <c r="A31" s="40"/>
      <c r="B31" s="82"/>
      <c r="C31" s="93" t="s">
        <v>47</v>
      </c>
      <c r="D31" s="94">
        <f>G15</f>
        <v>95</v>
      </c>
      <c r="E31" s="40"/>
      <c r="F31" s="95" t="s">
        <v>48</v>
      </c>
      <c r="G31" s="96">
        <f>G15*(1+D24)</f>
        <v>95</v>
      </c>
      <c r="H31" s="84"/>
      <c r="I31" s="97" t="s">
        <v>40</v>
      </c>
      <c r="J31" s="98">
        <f>D41</f>
        <v>27.550782199365599</v>
      </c>
      <c r="K31" s="87"/>
      <c r="L31" s="40"/>
    </row>
    <row r="32" spans="1:12" ht="30" customHeight="1">
      <c r="A32" s="40"/>
      <c r="B32" s="82"/>
      <c r="C32" s="93" t="s">
        <v>14</v>
      </c>
      <c r="D32" s="94">
        <f>G16</f>
        <v>3.8</v>
      </c>
      <c r="E32" s="40"/>
      <c r="F32" s="95" t="s">
        <v>49</v>
      </c>
      <c r="G32" s="99">
        <f>G16*(1+G22)</f>
        <v>3.8</v>
      </c>
      <c r="H32" s="84"/>
      <c r="I32" s="97" t="s">
        <v>50</v>
      </c>
      <c r="J32" s="98">
        <f>G41</f>
        <v>27.550782199365599</v>
      </c>
      <c r="K32" s="87"/>
      <c r="L32" s="40"/>
    </row>
    <row r="33" spans="1:12" ht="30" customHeight="1">
      <c r="A33" s="40"/>
      <c r="B33" s="82"/>
      <c r="C33" s="93" t="s">
        <v>17</v>
      </c>
      <c r="D33" s="94">
        <f>G17</f>
        <v>3.15</v>
      </c>
      <c r="E33" s="40"/>
      <c r="F33" s="95" t="s">
        <v>51</v>
      </c>
      <c r="G33" s="91">
        <f>G17*(1+G23)</f>
        <v>3.15</v>
      </c>
      <c r="H33" s="84"/>
      <c r="I33" s="100"/>
      <c r="J33" s="101"/>
      <c r="K33" s="87"/>
      <c r="L33" s="40"/>
    </row>
    <row r="34" spans="1:12" ht="30" customHeight="1">
      <c r="A34" s="40"/>
      <c r="B34" s="82"/>
      <c r="C34" s="93" t="s">
        <v>20</v>
      </c>
      <c r="D34" s="94">
        <f>G18</f>
        <v>5.77</v>
      </c>
      <c r="E34" s="40"/>
      <c r="F34" s="95" t="s">
        <v>52</v>
      </c>
      <c r="G34" s="91">
        <f>G18*(1+G24)</f>
        <v>5.77</v>
      </c>
      <c r="H34" s="84"/>
      <c r="I34" s="100"/>
      <c r="J34" s="101"/>
      <c r="K34" s="87"/>
      <c r="L34" s="40"/>
    </row>
    <row r="35" spans="1:12" ht="30" customHeight="1">
      <c r="A35" s="40"/>
      <c r="B35" s="102"/>
      <c r="C35" s="103" t="s">
        <v>53</v>
      </c>
      <c r="D35" s="94">
        <f>G15*(('Defaults and Options'!C12*'Dairy cattle enteric calc'!G16)+('Defaults and Options'!C13*'Dairy cattle enteric calc'!G17)+'Defaults and Options'!C14)</f>
        <v>89.843399999999988</v>
      </c>
      <c r="E35" s="40"/>
      <c r="F35" s="104" t="s">
        <v>53</v>
      </c>
      <c r="G35" s="91">
        <f>(G31)*(('Defaults and Options'!C12*(G32)+('Defaults and Options'!C13*(G33)+'Defaults and Options'!C14)))</f>
        <v>89.843399999999988</v>
      </c>
      <c r="H35" s="105"/>
      <c r="I35" s="97"/>
      <c r="J35" s="101"/>
      <c r="K35" s="87"/>
      <c r="L35" s="40"/>
    </row>
    <row r="36" spans="1:12" ht="18.75" customHeight="1">
      <c r="A36" s="40"/>
      <c r="B36" s="102"/>
      <c r="C36" s="50"/>
      <c r="D36" s="106"/>
      <c r="E36" s="40"/>
      <c r="F36" s="50"/>
      <c r="G36" s="106"/>
      <c r="H36" s="18"/>
      <c r="I36" s="97"/>
      <c r="J36" s="101"/>
      <c r="K36" s="87"/>
      <c r="L36" s="40"/>
    </row>
    <row r="37" spans="1:12" ht="18.75" customHeight="1">
      <c r="A37" s="40"/>
      <c r="B37" s="102"/>
      <c r="C37" s="175" t="s">
        <v>54</v>
      </c>
      <c r="D37" s="175"/>
      <c r="E37" s="40"/>
      <c r="F37" s="177" t="s">
        <v>54</v>
      </c>
      <c r="G37" s="177"/>
      <c r="H37" s="18"/>
      <c r="I37" s="97"/>
      <c r="J37" s="101"/>
      <c r="K37" s="87"/>
      <c r="L37" s="40"/>
    </row>
    <row r="38" spans="1:12" ht="30" customHeight="1">
      <c r="A38" s="40"/>
      <c r="B38" s="102"/>
      <c r="C38" s="88" t="s">
        <v>55</v>
      </c>
      <c r="D38" s="107">
        <f>(('Defaults and Options'!C16+('Defaults and Options'!C17*D17/'Defaults and Options'!C2)+('Defaults and Options'!C18*D18)+('Defaults and Options'!C19*G16)+('Defaults and Options'!C20*D15/'Defaults and Options'!C2))/1000*'Defaults and Options'!C2)</f>
        <v>0.9839565071202</v>
      </c>
      <c r="E38" s="40"/>
      <c r="F38" s="108" t="s">
        <v>56</v>
      </c>
      <c r="G38" s="109">
        <f>((('Defaults and Options'!C16+('Defaults and Options'!C17*G30/'Defaults and Options'!C2)+('Defaults and Options'!C18*D18)+('Defaults and Options'!C19*G32)+('Defaults and Options'!C20*D15/'Defaults and Options'!C2))/1000*'Defaults and Options'!C2))*(1+D22)</f>
        <v>0.9839565071202</v>
      </c>
      <c r="H38" s="18"/>
      <c r="I38" s="97" t="s">
        <v>40</v>
      </c>
      <c r="J38" s="98">
        <f>D43</f>
        <v>29.000823367753259</v>
      </c>
      <c r="K38" s="87"/>
      <c r="L38" s="40"/>
    </row>
    <row r="39" spans="1:12" ht="30" customHeight="1">
      <c r="A39" s="40"/>
      <c r="B39" s="102"/>
      <c r="C39" s="88" t="s">
        <v>57</v>
      </c>
      <c r="D39" s="107">
        <f>D38*'Defaults and Options'!C24</f>
        <v>27.550782199365599</v>
      </c>
      <c r="E39" s="40"/>
      <c r="F39" s="90" t="s">
        <v>58</v>
      </c>
      <c r="G39" s="110">
        <f>G38*'Defaults and Options'!C24</f>
        <v>27.550782199365599</v>
      </c>
      <c r="H39" s="18"/>
      <c r="I39" s="97" t="s">
        <v>50</v>
      </c>
      <c r="J39" s="98">
        <f>G43</f>
        <v>29.000823367753263</v>
      </c>
      <c r="K39" s="87"/>
      <c r="L39" s="40"/>
    </row>
    <row r="40" spans="1:12" ht="30" customHeight="1">
      <c r="A40" s="40"/>
      <c r="B40" s="102"/>
      <c r="C40" s="88" t="s">
        <v>59</v>
      </c>
      <c r="D40" s="107" t="s">
        <v>60</v>
      </c>
      <c r="E40" s="40"/>
      <c r="F40" s="90" t="s">
        <v>59</v>
      </c>
      <c r="G40" s="111">
        <f>G30*(IF(D22=0,0,'Defaults and Options'!C27*'Defaults and Options'!C28))</f>
        <v>0</v>
      </c>
      <c r="H40" s="18"/>
      <c r="I40" s="97"/>
      <c r="J40" s="101"/>
      <c r="K40" s="87"/>
      <c r="L40" s="40"/>
    </row>
    <row r="41" spans="1:12" ht="30" customHeight="1">
      <c r="A41" s="40"/>
      <c r="B41" s="102"/>
      <c r="C41" s="88" t="s">
        <v>61</v>
      </c>
      <c r="D41" s="107">
        <f>D39</f>
        <v>27.550782199365599</v>
      </c>
      <c r="E41" s="40"/>
      <c r="F41" s="90" t="s">
        <v>61</v>
      </c>
      <c r="G41" s="111">
        <f>G39+G40</f>
        <v>27.550782199365599</v>
      </c>
      <c r="H41" s="18"/>
      <c r="I41" s="97"/>
      <c r="J41" s="101"/>
      <c r="K41" s="87"/>
      <c r="L41" s="40"/>
    </row>
    <row r="42" spans="1:12" ht="30" customHeight="1">
      <c r="A42" s="40"/>
      <c r="B42" s="102"/>
      <c r="C42" s="88" t="s">
        <v>62</v>
      </c>
      <c r="D42" s="112" t="s">
        <v>60</v>
      </c>
      <c r="E42" s="113"/>
      <c r="F42" s="90" t="s">
        <v>62</v>
      </c>
      <c r="G42" s="114">
        <f>D39-G41</f>
        <v>0</v>
      </c>
      <c r="H42" s="18"/>
      <c r="I42" s="97"/>
      <c r="J42" s="101"/>
      <c r="K42" s="87"/>
      <c r="L42" s="40"/>
    </row>
    <row r="43" spans="1:12" ht="30" customHeight="1">
      <c r="A43" s="40"/>
      <c r="B43" s="102"/>
      <c r="C43" s="88" t="s">
        <v>63</v>
      </c>
      <c r="D43" s="115">
        <f>'Defaults and Options'!C5/G15*D39</f>
        <v>29.000823367753259</v>
      </c>
      <c r="E43" s="40"/>
      <c r="F43" s="90" t="s">
        <v>63</v>
      </c>
      <c r="G43" s="111">
        <f>G41*'Defaults and Options'!C5/'Dairy cattle enteric calc'!G15</f>
        <v>29.000823367753263</v>
      </c>
      <c r="H43" s="18"/>
      <c r="I43" s="97"/>
      <c r="J43" s="101"/>
      <c r="K43" s="87"/>
      <c r="L43" s="40"/>
    </row>
    <row r="44" spans="1:12" ht="30" customHeight="1">
      <c r="A44" s="40"/>
      <c r="B44" s="102"/>
      <c r="C44" s="88" t="s">
        <v>64</v>
      </c>
      <c r="D44" s="116">
        <f>D39/D35</f>
        <v>0.30665337909479834</v>
      </c>
      <c r="E44" s="40"/>
      <c r="F44" s="90" t="s">
        <v>64</v>
      </c>
      <c r="G44" s="111">
        <f>G41/G35</f>
        <v>0.30665337909479834</v>
      </c>
      <c r="H44" s="18"/>
      <c r="I44" s="97"/>
      <c r="J44" s="101"/>
      <c r="K44" s="87"/>
      <c r="L44" s="40"/>
    </row>
    <row r="45" spans="1:12" ht="18.75" customHeight="1">
      <c r="A45" s="40"/>
      <c r="B45" s="102"/>
      <c r="C45" s="18"/>
      <c r="D45" s="117"/>
      <c r="E45" s="40"/>
      <c r="F45" s="50"/>
      <c r="G45" s="118"/>
      <c r="H45" s="18"/>
      <c r="I45" s="119"/>
      <c r="J45" s="101"/>
      <c r="K45" s="87"/>
      <c r="L45" s="40"/>
    </row>
    <row r="46" spans="1:12" ht="19.75" customHeight="1">
      <c r="A46" s="40"/>
      <c r="B46" s="102"/>
      <c r="C46" s="178" t="s">
        <v>65</v>
      </c>
      <c r="D46" s="178"/>
      <c r="E46" s="120"/>
      <c r="F46" s="179" t="s">
        <v>65</v>
      </c>
      <c r="G46" s="179"/>
      <c r="H46" s="18"/>
      <c r="I46" s="119"/>
      <c r="J46" s="101"/>
      <c r="K46" s="87"/>
      <c r="L46" s="40"/>
    </row>
    <row r="47" spans="1:12" ht="30" customHeight="1">
      <c r="A47" s="40"/>
      <c r="B47" s="102"/>
      <c r="C47" s="88" t="s">
        <v>66</v>
      </c>
      <c r="D47" s="116">
        <f>G15/ 'Defaults and Options'!C2*(('Defaults and Options'!C12*'Dairy cattle enteric calc'!G16)+('Defaults and Options'!C13*'Dairy cattle enteric calc'!G17)+'Defaults and Options'!C14)</f>
        <v>40.752280769032474</v>
      </c>
      <c r="E47" s="40"/>
      <c r="F47" s="90" t="s">
        <v>66</v>
      </c>
      <c r="G47" s="111">
        <f>G35/'Defaults and Options'!C2</f>
        <v>40.752280769032474</v>
      </c>
      <c r="H47" s="18"/>
      <c r="I47" s="97"/>
      <c r="J47" s="101"/>
      <c r="K47" s="87"/>
      <c r="L47" s="40"/>
    </row>
    <row r="48" spans="1:12" ht="30" customHeight="1">
      <c r="A48" s="40"/>
      <c r="B48" s="102"/>
      <c r="C48" s="88" t="s">
        <v>67</v>
      </c>
      <c r="D48" s="116">
        <f xml:space="preserve"> ((-126+(11.3*D17/'Defaults and Options'!C2)+(2.3*D18)+(28.8*G16)+(0.148*D15/'Defaults and Options'!C2))/1000)</f>
        <v>0.44631516441584912</v>
      </c>
      <c r="E48" s="40"/>
      <c r="F48" s="90" t="s">
        <v>68</v>
      </c>
      <c r="G48" s="111">
        <f>D48*(1+D22)</f>
        <v>0.44631516441584912</v>
      </c>
      <c r="H48" s="18"/>
      <c r="I48" s="97" t="s">
        <v>40</v>
      </c>
      <c r="J48" s="98">
        <f>D53</f>
        <v>0.30665337909479834</v>
      </c>
      <c r="K48" s="87"/>
      <c r="L48" s="40"/>
    </row>
    <row r="49" spans="1:12" ht="30" customHeight="1">
      <c r="A49" s="40"/>
      <c r="B49" s="102"/>
      <c r="C49" s="88" t="s">
        <v>69</v>
      </c>
      <c r="D49" s="116">
        <f>D48*'Defaults and Options'!C24</f>
        <v>12.496824603643775</v>
      </c>
      <c r="E49" s="40"/>
      <c r="F49" s="90" t="s">
        <v>70</v>
      </c>
      <c r="G49" s="109">
        <f>G48*'Defaults and Options'!C24</f>
        <v>12.496824603643775</v>
      </c>
      <c r="H49" s="18"/>
      <c r="I49" s="97" t="s">
        <v>50</v>
      </c>
      <c r="J49" s="98">
        <f>G53</f>
        <v>0.30665337909479834</v>
      </c>
      <c r="K49" s="87"/>
      <c r="L49" s="40"/>
    </row>
    <row r="50" spans="1:12" ht="30" customHeight="1">
      <c r="A50" s="40"/>
      <c r="B50" s="102"/>
      <c r="C50" s="88" t="s">
        <v>71</v>
      </c>
      <c r="D50" s="107" t="s">
        <v>60</v>
      </c>
      <c r="E50" s="40"/>
      <c r="F50" s="90" t="s">
        <v>72</v>
      </c>
      <c r="G50" s="121">
        <f>IF(D22=0,0,G30*'Defaults and Options'!C27*'Defaults and Options'!C28/'Defaults and Options'!C2)</f>
        <v>0</v>
      </c>
      <c r="H50" s="18"/>
      <c r="I50" s="97"/>
      <c r="J50" s="101"/>
      <c r="K50" s="87"/>
      <c r="L50" s="40"/>
    </row>
    <row r="51" spans="1:12" ht="30" customHeight="1">
      <c r="A51" s="40"/>
      <c r="B51" s="102"/>
      <c r="C51" s="88" t="s">
        <v>73</v>
      </c>
      <c r="D51" s="122">
        <f>D49</f>
        <v>12.496824603643775</v>
      </c>
      <c r="E51" s="40"/>
      <c r="F51" s="90" t="s">
        <v>73</v>
      </c>
      <c r="G51" s="121">
        <f>G49+G50</f>
        <v>12.496824603643775</v>
      </c>
      <c r="H51" s="18"/>
      <c r="I51" s="97"/>
      <c r="J51" s="101"/>
      <c r="K51" s="87"/>
      <c r="L51" s="40"/>
    </row>
    <row r="52" spans="1:12" ht="30" customHeight="1">
      <c r="A52" s="40"/>
      <c r="B52" s="102"/>
      <c r="C52" s="103" t="s">
        <v>74</v>
      </c>
      <c r="D52" s="123" t="s">
        <v>60</v>
      </c>
      <c r="E52" s="113"/>
      <c r="F52" s="90" t="s">
        <v>74</v>
      </c>
      <c r="G52" s="114">
        <f>D49-G51</f>
        <v>0</v>
      </c>
      <c r="H52" s="18"/>
      <c r="I52" s="97"/>
      <c r="J52" s="101"/>
      <c r="K52" s="87"/>
      <c r="L52" s="40"/>
    </row>
    <row r="53" spans="1:12" ht="30" customHeight="1">
      <c r="A53" s="40"/>
      <c r="B53" s="102"/>
      <c r="C53" s="88" t="s">
        <v>75</v>
      </c>
      <c r="D53" s="107">
        <f>D49/D47</f>
        <v>0.30665337909479834</v>
      </c>
      <c r="E53" s="40"/>
      <c r="F53" s="90" t="s">
        <v>76</v>
      </c>
      <c r="G53" s="111">
        <f>G51/G47</f>
        <v>0.30665337909479834</v>
      </c>
      <c r="H53" s="18"/>
      <c r="I53" s="97"/>
      <c r="J53" s="101"/>
      <c r="K53" s="87"/>
      <c r="L53" s="40"/>
    </row>
    <row r="54" spans="1:12" ht="18.75" customHeight="1">
      <c r="A54" s="40"/>
      <c r="B54" s="102"/>
      <c r="C54" s="18"/>
      <c r="D54" s="18"/>
      <c r="E54" s="18"/>
      <c r="F54" s="18"/>
      <c r="G54" s="18"/>
      <c r="H54" s="18"/>
      <c r="I54" s="97"/>
      <c r="J54" s="101"/>
      <c r="K54" s="87"/>
      <c r="L54" s="40"/>
    </row>
    <row r="55" spans="1:12" ht="18.75" customHeight="1">
      <c r="A55" s="40"/>
      <c r="B55" s="124"/>
      <c r="C55" s="175" t="s">
        <v>77</v>
      </c>
      <c r="D55" s="175"/>
      <c r="E55" s="125"/>
      <c r="F55" s="177" t="s">
        <v>77</v>
      </c>
      <c r="G55" s="177"/>
      <c r="H55" s="18"/>
      <c r="I55" s="97"/>
      <c r="J55" s="101"/>
      <c r="K55" s="87"/>
      <c r="L55" s="40"/>
    </row>
    <row r="56" spans="1:12" ht="30" customHeight="1">
      <c r="A56" s="40"/>
      <c r="B56" s="124"/>
      <c r="C56" s="126" t="s">
        <v>78</v>
      </c>
      <c r="D56" s="127">
        <f>IF(J15&gt;0,(G15/'Defaults and Options'!C5*J15),((G15*G16%*J16)+(G15*G17%*J17)+(G15*G18%*J18)))+G15/'Defaults and Options'!C5*'Dairy cattle enteric calc'!J19</f>
        <v>16.321854999999999</v>
      </c>
      <c r="E56" s="40"/>
      <c r="F56" s="90" t="s">
        <v>78</v>
      </c>
      <c r="G56" s="128">
        <f>IF(J15&gt;0,(G31/'Defaults and Options'!C5*J15),((G31*G32%*J16)+(G31*G33%*J17)+(G31*G34%*J18))+(J19/'Defaults and Options'!C5*'Dairy cattle enteric calc'!G31))</f>
        <v>16.321854999999999</v>
      </c>
      <c r="H56" s="18"/>
      <c r="I56" s="97"/>
      <c r="J56" s="101"/>
      <c r="K56" s="87"/>
      <c r="L56" s="40"/>
    </row>
    <row r="57" spans="1:12" ht="30" customHeight="1">
      <c r="A57" s="40"/>
      <c r="B57" s="124"/>
      <c r="C57" s="129" t="s">
        <v>79</v>
      </c>
      <c r="D57" s="130">
        <f>D20</f>
        <v>6</v>
      </c>
      <c r="E57" s="40"/>
      <c r="F57" s="90" t="s">
        <v>80</v>
      </c>
      <c r="G57" s="131">
        <f>(D20/D17*G30)+(J22)</f>
        <v>6.15</v>
      </c>
      <c r="H57" s="18"/>
      <c r="I57" s="97" t="s">
        <v>40</v>
      </c>
      <c r="J57" s="132">
        <f>D61</f>
        <v>10.865110526315789</v>
      </c>
      <c r="K57" s="87"/>
      <c r="L57" s="40"/>
    </row>
    <row r="58" spans="1:12" ht="30" customHeight="1">
      <c r="A58" s="18"/>
      <c r="B58" s="133"/>
      <c r="C58" s="88" t="s">
        <v>81</v>
      </c>
      <c r="D58" s="134">
        <f>D56-D57</f>
        <v>10.321854999999999</v>
      </c>
      <c r="E58" s="18"/>
      <c r="F58" s="90" t="s">
        <v>82</v>
      </c>
      <c r="G58" s="135">
        <f>(G56-G57)</f>
        <v>10.171854999999999</v>
      </c>
      <c r="H58" s="18"/>
      <c r="I58" s="97" t="s">
        <v>50</v>
      </c>
      <c r="J58" s="132">
        <f>G61</f>
        <v>10.707215789473683</v>
      </c>
      <c r="K58" s="136"/>
      <c r="L58" s="18"/>
    </row>
    <row r="59" spans="1:12" ht="30" customHeight="1">
      <c r="A59" s="18"/>
      <c r="B59" s="133"/>
      <c r="C59" s="88" t="s">
        <v>83</v>
      </c>
      <c r="D59" s="134" t="s">
        <v>60</v>
      </c>
      <c r="E59" s="18"/>
      <c r="F59" s="137" t="s">
        <v>83</v>
      </c>
      <c r="G59" s="138">
        <f>(G52/1000*J23)</f>
        <v>0</v>
      </c>
      <c r="H59" s="18"/>
      <c r="I59" s="97"/>
      <c r="J59" s="101"/>
      <c r="K59" s="136"/>
      <c r="L59" s="18"/>
    </row>
    <row r="60" spans="1:12" ht="30" customHeight="1">
      <c r="A60" s="18"/>
      <c r="B60" s="133"/>
      <c r="C60" s="88" t="s">
        <v>84</v>
      </c>
      <c r="D60" s="134" t="s">
        <v>60</v>
      </c>
      <c r="E60" s="18"/>
      <c r="F60" s="90" t="s">
        <v>84</v>
      </c>
      <c r="G60" s="135">
        <f>(G58)+(G52/1000*J23)</f>
        <v>10.171854999999999</v>
      </c>
      <c r="H60" s="18"/>
      <c r="I60" s="97"/>
      <c r="J60" s="18"/>
      <c r="K60" s="136"/>
      <c r="L60" s="18"/>
    </row>
    <row r="61" spans="1:12" ht="30" customHeight="1">
      <c r="A61" s="18"/>
      <c r="B61" s="102"/>
      <c r="C61" s="139" t="s">
        <v>85</v>
      </c>
      <c r="D61" s="134">
        <f>D58*('Defaults and Options'!C5/G15)</f>
        <v>10.865110526315789</v>
      </c>
      <c r="E61" s="18"/>
      <c r="F61" s="90" t="s">
        <v>86</v>
      </c>
      <c r="G61" s="135">
        <f>G60*('Defaults and Options'!C5/G15)</f>
        <v>10.707215789473683</v>
      </c>
      <c r="H61" s="18"/>
      <c r="I61" s="97"/>
      <c r="J61" s="18"/>
      <c r="K61" s="136"/>
      <c r="L61" s="18"/>
    </row>
    <row r="62" spans="1:12" ht="30" customHeight="1">
      <c r="A62" s="18"/>
      <c r="B62" s="102"/>
      <c r="C62" s="88" t="s">
        <v>87</v>
      </c>
      <c r="D62" s="134">
        <f>D58/D35</f>
        <v>0.11488718147354175</v>
      </c>
      <c r="E62" s="18"/>
      <c r="F62" s="90" t="s">
        <v>88</v>
      </c>
      <c r="G62" s="135">
        <f>G60/G35</f>
        <v>0.11321760975207973</v>
      </c>
      <c r="H62" s="18"/>
      <c r="I62" s="18"/>
      <c r="J62" s="18"/>
      <c r="K62" s="136"/>
      <c r="L62" s="18"/>
    </row>
    <row r="63" spans="1:12" ht="14">
      <c r="A63" s="18"/>
      <c r="B63" s="102"/>
      <c r="C63" s="59"/>
      <c r="D63" s="18"/>
      <c r="E63" s="18"/>
      <c r="F63" s="25"/>
      <c r="G63" s="18"/>
      <c r="H63" s="18"/>
      <c r="I63" s="18"/>
      <c r="J63" s="18"/>
      <c r="K63" s="136"/>
      <c r="L63" s="18"/>
    </row>
    <row r="64" spans="1:12" ht="15" thickBot="1">
      <c r="A64" s="18"/>
      <c r="B64" s="102"/>
      <c r="C64" s="18"/>
      <c r="D64" s="18"/>
      <c r="E64" s="18"/>
      <c r="F64" s="18"/>
      <c r="G64" s="18"/>
      <c r="H64" s="18"/>
      <c r="I64" s="18"/>
      <c r="J64" s="18"/>
      <c r="K64" s="136"/>
      <c r="L64" s="18"/>
    </row>
    <row r="65" spans="1:12" ht="15" customHeight="1">
      <c r="A65" s="18"/>
      <c r="B65" s="102"/>
      <c r="C65" s="149" t="s">
        <v>89</v>
      </c>
      <c r="D65" s="150"/>
      <c r="E65" s="150"/>
      <c r="F65" s="151"/>
      <c r="G65" s="155">
        <f>G61-D61</f>
        <v>-0.1578947368421062</v>
      </c>
      <c r="H65" s="18"/>
      <c r="I65" s="18"/>
      <c r="J65" s="18"/>
      <c r="K65" s="136"/>
      <c r="L65" s="18"/>
    </row>
    <row r="66" spans="1:12" ht="19.5" customHeight="1" thickBot="1">
      <c r="A66" s="18"/>
      <c r="B66" s="102"/>
      <c r="C66" s="152" t="s">
        <v>90</v>
      </c>
      <c r="D66" s="153"/>
      <c r="E66" s="153"/>
      <c r="F66" s="154"/>
      <c r="G66" s="156"/>
      <c r="H66" s="18"/>
      <c r="I66" s="18"/>
      <c r="J66" s="18"/>
      <c r="K66" s="136"/>
      <c r="L66" s="18"/>
    </row>
    <row r="67" spans="1:12" ht="19.5" customHeight="1" thickBot="1">
      <c r="A67" s="18"/>
      <c r="B67" s="140"/>
      <c r="C67" s="75"/>
      <c r="D67" s="75"/>
      <c r="E67" s="75"/>
      <c r="F67" s="75"/>
      <c r="G67" s="75"/>
      <c r="H67" s="75"/>
      <c r="I67" s="75"/>
      <c r="J67" s="75"/>
      <c r="K67" s="76"/>
      <c r="L67" s="18"/>
    </row>
    <row r="68" spans="1:12" ht="19.5" customHeight="1">
      <c r="A68" s="18"/>
      <c r="B68" s="19"/>
      <c r="C68" s="18"/>
      <c r="D68" s="141"/>
      <c r="E68" s="18"/>
      <c r="F68" s="18"/>
      <c r="G68" s="18"/>
      <c r="H68" s="18"/>
      <c r="I68" s="18"/>
      <c r="J68" s="18"/>
      <c r="K68" s="18"/>
      <c r="L68" s="18"/>
    </row>
  </sheetData>
  <sheetProtection algorithmName="SHA-512" hashValue="qoAl6wjwyUMPGoRc5Gfobkm6IGw9Sjc4lC1+I5h/JD4xWHB7TDH/bJdKp2j5uiw+B2adLkf25Yv/fVTUe25zBA==" saltValue="+QY63vS3HG5Dkr00bjL8Sw==" spinCount="100000" sheet="1" objects="1" scenarios="1" selectLockedCells="1"/>
  <mergeCells count="23">
    <mergeCell ref="C13:J13"/>
    <mergeCell ref="F55:G55"/>
    <mergeCell ref="C27:J27"/>
    <mergeCell ref="C37:D37"/>
    <mergeCell ref="F37:G37"/>
    <mergeCell ref="C46:D46"/>
    <mergeCell ref="F46:G46"/>
    <mergeCell ref="B3:J4"/>
    <mergeCell ref="C21:J21"/>
    <mergeCell ref="B2:J2"/>
    <mergeCell ref="C65:F65"/>
    <mergeCell ref="C66:F66"/>
    <mergeCell ref="G65:G66"/>
    <mergeCell ref="B5:J5"/>
    <mergeCell ref="D8:F8"/>
    <mergeCell ref="D9:F9"/>
    <mergeCell ref="D10:F10"/>
    <mergeCell ref="H8:J10"/>
    <mergeCell ref="C28:D28"/>
    <mergeCell ref="F28:G28"/>
    <mergeCell ref="C29:D29"/>
    <mergeCell ref="F29:G29"/>
    <mergeCell ref="C55:D55"/>
  </mergeCells>
  <conditionalFormatting sqref="G65:G66">
    <cfRule type="cellIs" dxfId="1" priority="3" operator="greaterThan">
      <formula>0</formula>
    </cfRule>
    <cfRule type="cellIs" dxfId="0" priority="4" operator="lessThan">
      <formula>0</formula>
    </cfRule>
  </conditionalFormatting>
  <hyperlinks>
    <hyperlink ref="G20" r:id="rId1" display="https://agnext.colostate.edu/carbon-markets/" xr:uid="{FF003E0B-7B27-4C9D-9444-EB79973ED60E}"/>
    <hyperlink ref="J24" r:id="rId2" display="https://carboncredits.com/carbon-prices-today" xr:uid="{2AE6A023-8C3C-447A-B2A3-16BAEBE93A64}"/>
    <hyperlink ref="J20" r:id="rId3" xr:uid="{17AF4B05-2A51-4E1E-A8D0-B7F966238AE9}"/>
    <hyperlink ref="D19" r:id="rId4" xr:uid="{E6CD42AB-7A9A-7E4F-A700-856FCEBF8DAC}"/>
  </hyperlinks>
  <pageMargins left="0.7" right="0.7" top="0.75" bottom="0.75" header="0.3" footer="0.3"/>
  <pageSetup scale="37" orientation="portrait" r:id="rId5"/>
  <headerFooter>
    <oddFooter>&amp;L&amp;F&amp;CPage &amp;P of &amp;N&amp;RGenerated on &amp;D at &amp;T</oddFooter>
  </headerFooter>
  <ignoredErrors>
    <ignoredError sqref="G65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71CD-E3CF-4CA4-9B7C-DEAD1236F6BC}">
  <sheetPr codeName="Sheet3"/>
  <dimension ref="A1:C28"/>
  <sheetViews>
    <sheetView zoomScaleNormal="100" workbookViewId="0">
      <selection activeCell="C6" sqref="C6"/>
    </sheetView>
  </sheetViews>
  <sheetFormatPr baseColWidth="10" defaultColWidth="9" defaultRowHeight="13"/>
  <cols>
    <col min="1" max="1" width="12.1640625" style="1" customWidth="1"/>
    <col min="2" max="2" width="47.6640625" style="1" customWidth="1"/>
    <col min="3" max="3" width="21.83203125" style="1" customWidth="1"/>
    <col min="4" max="4" width="22.33203125" style="1" customWidth="1"/>
    <col min="5" max="5" width="21" style="1" customWidth="1"/>
    <col min="6" max="6" width="16" style="1" customWidth="1"/>
    <col min="7" max="16384" width="9" style="1"/>
  </cols>
  <sheetData>
    <row r="1" spans="1:3" ht="14" thickBot="1">
      <c r="A1" s="4" t="s">
        <v>91</v>
      </c>
      <c r="B1" s="5"/>
      <c r="C1" s="4"/>
    </row>
    <row r="2" spans="1:3" ht="14" thickTop="1">
      <c r="A2" s="1" t="s">
        <v>92</v>
      </c>
      <c r="B2" s="1" t="s">
        <v>93</v>
      </c>
      <c r="C2" s="2">
        <v>2.2046226199999999</v>
      </c>
    </row>
    <row r="3" spans="1:3">
      <c r="B3" s="1" t="s">
        <v>94</v>
      </c>
      <c r="C3" s="1">
        <v>4.1840000000000002</v>
      </c>
    </row>
    <row r="4" spans="1:3">
      <c r="B4" s="1" t="s">
        <v>95</v>
      </c>
      <c r="C4" s="1">
        <v>1000</v>
      </c>
    </row>
    <row r="5" spans="1:3">
      <c r="B5" s="1" t="s">
        <v>96</v>
      </c>
      <c r="C5" s="1">
        <v>100</v>
      </c>
    </row>
    <row r="6" spans="1:3">
      <c r="B6" s="1" t="s">
        <v>97</v>
      </c>
      <c r="C6" s="1">
        <v>2000</v>
      </c>
    </row>
    <row r="7" spans="1:3">
      <c r="B7" s="1" t="s">
        <v>98</v>
      </c>
      <c r="C7" s="1">
        <v>55.65</v>
      </c>
    </row>
    <row r="8" spans="1:3">
      <c r="B8" s="1" t="s">
        <v>99</v>
      </c>
      <c r="C8" s="1">
        <v>4</v>
      </c>
    </row>
    <row r="9" spans="1:3">
      <c r="B9" s="1" t="s">
        <v>100</v>
      </c>
      <c r="C9" s="1">
        <v>3.3</v>
      </c>
    </row>
    <row r="11" spans="1:3">
      <c r="A11" s="6" t="s">
        <v>101</v>
      </c>
      <c r="B11" s="6"/>
      <c r="C11" s="6"/>
    </row>
    <row r="12" spans="1:3">
      <c r="B12" s="3" t="s">
        <v>102</v>
      </c>
      <c r="C12" s="1">
        <v>0.1226</v>
      </c>
    </row>
    <row r="13" spans="1:3">
      <c r="B13" s="3" t="s">
        <v>103</v>
      </c>
      <c r="C13" s="1">
        <v>7.7600000000000002E-2</v>
      </c>
    </row>
    <row r="14" spans="1:3">
      <c r="B14" s="3" t="s">
        <v>104</v>
      </c>
      <c r="C14" s="1">
        <v>0.2354</v>
      </c>
    </row>
    <row r="15" spans="1:3">
      <c r="A15" s="7" t="s">
        <v>105</v>
      </c>
      <c r="B15" s="6"/>
      <c r="C15" s="6"/>
    </row>
    <row r="16" spans="1:3">
      <c r="B16" s="3" t="s">
        <v>104</v>
      </c>
      <c r="C16" s="1">
        <v>-126</v>
      </c>
    </row>
    <row r="17" spans="1:3">
      <c r="B17" s="3" t="s">
        <v>106</v>
      </c>
      <c r="C17" s="1">
        <v>11.3</v>
      </c>
    </row>
    <row r="18" spans="1:3">
      <c r="B18" s="3" t="s">
        <v>107</v>
      </c>
      <c r="C18" s="1">
        <v>2.2999999999999998</v>
      </c>
    </row>
    <row r="19" spans="1:3">
      <c r="B19" s="3" t="s">
        <v>108</v>
      </c>
      <c r="C19" s="1">
        <v>28.8</v>
      </c>
    </row>
    <row r="20" spans="1:3">
      <c r="B20" s="3" t="s">
        <v>109</v>
      </c>
      <c r="C20" s="1">
        <v>0.14799999999999999</v>
      </c>
    </row>
    <row r="23" spans="1:3">
      <c r="A23" s="6" t="s">
        <v>110</v>
      </c>
      <c r="B23" s="6"/>
      <c r="C23" s="6"/>
    </row>
    <row r="24" spans="1:3">
      <c r="B24" s="1" t="s">
        <v>111</v>
      </c>
      <c r="C24" s="1">
        <v>28</v>
      </c>
    </row>
    <row r="26" spans="1:3">
      <c r="A26" s="6" t="s">
        <v>50</v>
      </c>
      <c r="B26" s="6" t="s">
        <v>112</v>
      </c>
      <c r="C26" s="6"/>
    </row>
    <row r="27" spans="1:3">
      <c r="B27" s="1" t="s">
        <v>113</v>
      </c>
      <c r="C27" s="1">
        <v>1E-4</v>
      </c>
    </row>
    <row r="28" spans="1:3">
      <c r="B28" s="1" t="s">
        <v>114</v>
      </c>
      <c r="C28" s="1">
        <v>52</v>
      </c>
    </row>
  </sheetData>
  <sheetProtection algorithmName="SHA-512" hashValue="s8ixB1v5Dv9o5VeG3c/KHXgiX8PDDHPTqZJt3+TPNwa7oiE39hYq/ZKf4G+jbgOHcrPBw9d9NqkxVlubK6lnpg==" saltValue="04U7abRNao5e+SqIVE4aCA==" spinCount="100000" sheet="1" objects="1" scenarios="1" selectLockedCells="1" selectUnlockedCells="1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Dairy cattle enteric calc</vt:lpstr>
      <vt:lpstr>Defaults and Options</vt:lpstr>
      <vt:lpstr>'Dairy cattle enteric calc'!Print_Area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Place</dc:creator>
  <cp:keywords/>
  <dc:description/>
  <cp:lastModifiedBy>Giesenhagen,Erica</cp:lastModifiedBy>
  <cp:revision/>
  <dcterms:created xsi:type="dcterms:W3CDTF">2022-08-29T16:11:20Z</dcterms:created>
  <dcterms:modified xsi:type="dcterms:W3CDTF">2024-05-31T20:19:07Z</dcterms:modified>
  <cp:category/>
  <cp:contentStatus/>
</cp:coreProperties>
</file>